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espis-prod/prod/spsdav/DOZMC.1_funm4123/spsSlozka/pism259262636_pism259262636/"/>
    </mc:Choice>
  </mc:AlternateContent>
  <xr:revisionPtr revIDLastSave="0" documentId="13_ncr:1_{654D4CA3-108B-4AB1-A92F-B4E4592C3469}" xr6:coauthVersionLast="47" xr6:coauthVersionMax="47" xr10:uidLastSave="{00000000-0000-0000-0000-000000000000}"/>
  <bookViews>
    <workbookView xWindow="-120" yWindow="-120" windowWidth="29040" windowHeight="17640" tabRatio="786" xr2:uid="{00000000-000D-0000-FFFF-FFFF00000000}"/>
  </bookViews>
  <sheets>
    <sheet name="Kap.01" sheetId="1" r:id="rId1"/>
    <sheet name="Kap.02" sheetId="2" r:id="rId2"/>
    <sheet name="Kap. 03" sheetId="3" r:id="rId3"/>
    <sheet name="Kap. 04" sheetId="20" r:id="rId4"/>
    <sheet name="Kap. 05" sheetId="26" r:id="rId5"/>
    <sheet name="Kap. 06" sheetId="19" r:id="rId6"/>
    <sheet name="Kap. 07" sheetId="27" r:id="rId7"/>
    <sheet name="Kap. 08 " sheetId="28" r:id="rId8"/>
    <sheet name="Kap. 09 " sheetId="29" r:id="rId9"/>
    <sheet name="Kap. 10 " sheetId="30" r:id="rId10"/>
  </sheets>
  <externalReferences>
    <externalReference r:id="rId11"/>
    <externalReference r:id="rId12"/>
  </externalReferences>
  <definedNames>
    <definedName name="_xlnm.Print_Area" localSheetId="4">'Kap. 05'!$A$1:$I$39</definedName>
    <definedName name="_xlnm.Print_Area" localSheetId="5">'Kap. 06'!$A$1:$I$50</definedName>
    <definedName name="_xlnm.Print_Area" localSheetId="7">'Kap. 08 '!$A$1:$I$74</definedName>
    <definedName name="_xlnm.Print_Area" localSheetId="8">'Kap. 09 '!$A$1:$I$129</definedName>
    <definedName name="_xlnm.Print_Area" localSheetId="9">'Kap. 10 '!$A$1:$I$32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I13" i="30" l="1"/>
  <c r="H13" i="30"/>
  <c r="I156" i="20"/>
  <c r="I155" i="20"/>
  <c r="I46" i="27"/>
  <c r="I38" i="27"/>
  <c r="H38" i="27"/>
  <c r="F23" i="2"/>
  <c r="I167" i="20"/>
  <c r="I15" i="26"/>
  <c r="I37" i="1"/>
  <c r="E40" i="29" l="1"/>
  <c r="G37" i="2"/>
  <c r="F109" i="20"/>
  <c r="F86" i="20"/>
  <c r="F94" i="20"/>
  <c r="F80" i="20"/>
  <c r="F58" i="20"/>
  <c r="G215" i="20"/>
  <c r="F215" i="20"/>
  <c r="E215" i="20"/>
  <c r="G184" i="20"/>
  <c r="I248" i="20"/>
  <c r="F73" i="20" l="1"/>
  <c r="F116" i="20"/>
  <c r="F91" i="20"/>
  <c r="F119" i="20"/>
  <c r="F125" i="20"/>
  <c r="F122" i="20"/>
  <c r="F106" i="20"/>
  <c r="F112" i="20"/>
  <c r="F103" i="20"/>
  <c r="F76" i="20"/>
  <c r="F83" i="20"/>
  <c r="F47" i="20"/>
  <c r="F62" i="20"/>
  <c r="F14" i="20"/>
  <c r="F69" i="20"/>
  <c r="F65" i="20"/>
  <c r="F55" i="20"/>
  <c r="F44" i="20"/>
  <c r="F41" i="20"/>
  <c r="F38" i="20"/>
  <c r="F35" i="20"/>
  <c r="F32" i="20"/>
  <c r="F29" i="20"/>
  <c r="F26" i="20"/>
  <c r="F23" i="20"/>
  <c r="F20" i="20"/>
  <c r="F17" i="20"/>
  <c r="F9" i="20"/>
  <c r="I13" i="19"/>
  <c r="F7" i="19"/>
  <c r="I41" i="1"/>
  <c r="I40" i="1"/>
  <c r="G39" i="1"/>
  <c r="I39" i="1" s="1"/>
  <c r="F39" i="1"/>
  <c r="E39" i="1"/>
  <c r="H37" i="1"/>
  <c r="I36" i="1"/>
  <c r="H36" i="1"/>
  <c r="I35" i="1"/>
  <c r="H35" i="1"/>
  <c r="G34" i="1"/>
  <c r="F34" i="1"/>
  <c r="E34" i="1"/>
  <c r="F32" i="1"/>
  <c r="G32" i="1" s="1"/>
  <c r="I27" i="1"/>
  <c r="H27" i="1"/>
  <c r="I26" i="1"/>
  <c r="H26" i="1"/>
  <c r="G25" i="1"/>
  <c r="F25" i="1"/>
  <c r="E25" i="1"/>
  <c r="I23" i="1"/>
  <c r="H23" i="1"/>
  <c r="I22" i="1"/>
  <c r="H22" i="1"/>
  <c r="G21" i="1"/>
  <c r="H21" i="1" s="1"/>
  <c r="F21" i="1"/>
  <c r="E21" i="1"/>
  <c r="E20" i="1" s="1"/>
  <c r="I18" i="1"/>
  <c r="H18" i="1"/>
  <c r="G17" i="1"/>
  <c r="I17" i="1" s="1"/>
  <c r="F17" i="1"/>
  <c r="E17" i="1"/>
  <c r="G15" i="1"/>
  <c r="I37" i="2"/>
  <c r="F37" i="2"/>
  <c r="E37" i="2"/>
  <c r="I36" i="2"/>
  <c r="I35" i="2"/>
  <c r="I34" i="2"/>
  <c r="I33" i="2"/>
  <c r="H33" i="2"/>
  <c r="I32" i="2"/>
  <c r="I31" i="2"/>
  <c r="I30" i="2"/>
  <c r="H30" i="2"/>
  <c r="I29" i="2"/>
  <c r="I28" i="2"/>
  <c r="H28" i="2"/>
  <c r="I27" i="2"/>
  <c r="H27" i="2"/>
  <c r="I26" i="2"/>
  <c r="H26" i="2"/>
  <c r="I25" i="2"/>
  <c r="H25" i="2"/>
  <c r="I24" i="2"/>
  <c r="H24" i="2"/>
  <c r="G23" i="2"/>
  <c r="I23" i="2" s="1"/>
  <c r="E23" i="2"/>
  <c r="G16" i="2"/>
  <c r="I15" i="2"/>
  <c r="H15" i="2"/>
  <c r="I14" i="2"/>
  <c r="H14" i="2"/>
  <c r="I13" i="2"/>
  <c r="H13" i="2"/>
  <c r="I12" i="2"/>
  <c r="H12" i="2"/>
  <c r="I11" i="2"/>
  <c r="H11" i="2"/>
  <c r="I10" i="2"/>
  <c r="H10" i="2"/>
  <c r="I9" i="2"/>
  <c r="H9" i="2"/>
  <c r="G8" i="2"/>
  <c r="F8" i="2"/>
  <c r="F16" i="2" s="1"/>
  <c r="F39" i="2" s="1"/>
  <c r="E8" i="2"/>
  <c r="E16" i="2" s="1"/>
  <c r="E39" i="2" s="1"/>
  <c r="F6" i="2"/>
  <c r="F21" i="2" s="1"/>
  <c r="G25" i="3"/>
  <c r="I25" i="3" s="1"/>
  <c r="F25" i="3"/>
  <c r="E25" i="3"/>
  <c r="I24" i="3"/>
  <c r="H24" i="3"/>
  <c r="I23" i="3"/>
  <c r="I22" i="3"/>
  <c r="H22" i="3"/>
  <c r="I21" i="3"/>
  <c r="H21" i="3"/>
  <c r="I20" i="3"/>
  <c r="H20" i="3"/>
  <c r="I19" i="3"/>
  <c r="G19" i="3"/>
  <c r="F19" i="3"/>
  <c r="E19" i="3"/>
  <c r="H19" i="3" s="1"/>
  <c r="E12" i="3"/>
  <c r="E27" i="3" s="1"/>
  <c r="I11" i="3"/>
  <c r="H11" i="3"/>
  <c r="I10" i="3"/>
  <c r="H10" i="3"/>
  <c r="I9" i="3"/>
  <c r="H9" i="3"/>
  <c r="G8" i="3"/>
  <c r="G12" i="3" s="1"/>
  <c r="F8" i="3"/>
  <c r="F12" i="3" s="1"/>
  <c r="F27" i="3" s="1"/>
  <c r="E8" i="3"/>
  <c r="F6" i="3"/>
  <c r="F17" i="3" s="1"/>
  <c r="G35" i="26"/>
  <c r="I35" i="26" s="1"/>
  <c r="F35" i="26"/>
  <c r="I34" i="26"/>
  <c r="I33" i="26"/>
  <c r="I32" i="26"/>
  <c r="G31" i="26"/>
  <c r="I31" i="26" s="1"/>
  <c r="F31" i="26"/>
  <c r="E31" i="26"/>
  <c r="G29" i="26"/>
  <c r="I29" i="26" s="1"/>
  <c r="F29" i="26"/>
  <c r="E29" i="26"/>
  <c r="E35" i="26" s="1"/>
  <c r="I21" i="26"/>
  <c r="H21" i="26"/>
  <c r="I20" i="26"/>
  <c r="I19" i="26"/>
  <c r="H19" i="26"/>
  <c r="E19" i="26"/>
  <c r="I18" i="26"/>
  <c r="H18" i="26"/>
  <c r="I17" i="26"/>
  <c r="H17" i="26"/>
  <c r="I16" i="26"/>
  <c r="H16" i="26"/>
  <c r="I14" i="26"/>
  <c r="H14" i="26"/>
  <c r="I13" i="26"/>
  <c r="H13" i="26"/>
  <c r="G12" i="26"/>
  <c r="F12" i="26"/>
  <c r="F22" i="26" s="1"/>
  <c r="F37" i="26" s="1"/>
  <c r="E12" i="26"/>
  <c r="E22" i="26" s="1"/>
  <c r="E37" i="26" s="1"/>
  <c r="I10" i="26"/>
  <c r="I9" i="26"/>
  <c r="G8" i="26"/>
  <c r="I8" i="26" s="1"/>
  <c r="F8" i="26"/>
  <c r="E8" i="26"/>
  <c r="F6" i="26"/>
  <c r="F27" i="26" s="1"/>
  <c r="E46" i="19"/>
  <c r="I45" i="19"/>
  <c r="I44" i="19"/>
  <c r="I43" i="19"/>
  <c r="I42" i="19"/>
  <c r="I41" i="19"/>
  <c r="I40" i="19"/>
  <c r="I39" i="19"/>
  <c r="G38" i="19"/>
  <c r="F38" i="19"/>
  <c r="F46" i="19" s="1"/>
  <c r="E38" i="19"/>
  <c r="I29" i="19"/>
  <c r="H29" i="19"/>
  <c r="I28" i="19"/>
  <c r="H28" i="19"/>
  <c r="H26" i="19"/>
  <c r="G25" i="19"/>
  <c r="F25" i="19"/>
  <c r="E25" i="19"/>
  <c r="I23" i="19"/>
  <c r="H23" i="19"/>
  <c r="I22" i="19"/>
  <c r="H22" i="19"/>
  <c r="I21" i="19"/>
  <c r="H21" i="19"/>
  <c r="I20" i="19"/>
  <c r="H20" i="19"/>
  <c r="I19" i="19"/>
  <c r="H19" i="19"/>
  <c r="I18" i="19"/>
  <c r="H18" i="19"/>
  <c r="I17" i="19"/>
  <c r="H17" i="19"/>
  <c r="I16" i="19"/>
  <c r="H16" i="19"/>
  <c r="I15" i="19"/>
  <c r="H15" i="19"/>
  <c r="I14" i="19"/>
  <c r="H14" i="19"/>
  <c r="I12" i="19"/>
  <c r="H12" i="19"/>
  <c r="I11" i="19"/>
  <c r="H11" i="19"/>
  <c r="I10" i="19"/>
  <c r="H10" i="19"/>
  <c r="I9" i="19"/>
  <c r="H9" i="19"/>
  <c r="I8" i="19"/>
  <c r="H8" i="19"/>
  <c r="G7" i="19"/>
  <c r="E7" i="19"/>
  <c r="G5" i="19"/>
  <c r="H34" i="1" l="1"/>
  <c r="I34" i="1" s="1"/>
  <c r="F43" i="1"/>
  <c r="G43" i="1"/>
  <c r="I21" i="1"/>
  <c r="E43" i="1"/>
  <c r="H17" i="1"/>
  <c r="F20" i="1"/>
  <c r="F28" i="1" s="1"/>
  <c r="G22" i="26"/>
  <c r="G37" i="26" s="1"/>
  <c r="H23" i="2"/>
  <c r="I12" i="26"/>
  <c r="I38" i="19"/>
  <c r="E30" i="19"/>
  <c r="E48" i="19" s="1"/>
  <c r="G46" i="19"/>
  <c r="I46" i="19" s="1"/>
  <c r="F30" i="19"/>
  <c r="F48" i="19" s="1"/>
  <c r="H25" i="19"/>
  <c r="I7" i="19"/>
  <c r="I25" i="1"/>
  <c r="H25" i="1"/>
  <c r="G6" i="2"/>
  <c r="G21" i="2" s="1"/>
  <c r="I25" i="19"/>
  <c r="E28" i="1"/>
  <c r="E45" i="1" s="1"/>
  <c r="G20" i="1"/>
  <c r="G28" i="1" s="1"/>
  <c r="I16" i="2"/>
  <c r="H16" i="2"/>
  <c r="H37" i="2"/>
  <c r="G39" i="2"/>
  <c r="H8" i="2"/>
  <c r="I8" i="2"/>
  <c r="G27" i="3"/>
  <c r="I12" i="3"/>
  <c r="H12" i="3"/>
  <c r="G6" i="3"/>
  <c r="G17" i="3" s="1"/>
  <c r="H8" i="3"/>
  <c r="H25" i="3"/>
  <c r="I8" i="3"/>
  <c r="G6" i="26"/>
  <c r="G27" i="26" s="1"/>
  <c r="H12" i="26"/>
  <c r="H7" i="19"/>
  <c r="G30" i="19"/>
  <c r="I43" i="1" l="1"/>
  <c r="H43" i="1"/>
  <c r="F45" i="1"/>
  <c r="H22" i="26"/>
  <c r="I22" i="26"/>
  <c r="I28" i="1"/>
  <c r="G45" i="1"/>
  <c r="H28" i="1"/>
  <c r="I20" i="1"/>
  <c r="H20" i="1"/>
  <c r="I39" i="2"/>
  <c r="H39" i="2"/>
  <c r="I27" i="3"/>
  <c r="H27" i="3"/>
  <c r="I37" i="26"/>
  <c r="H37" i="26"/>
  <c r="I30" i="19"/>
  <c r="H30" i="19"/>
  <c r="G48" i="19"/>
  <c r="I45" i="1" l="1"/>
  <c r="H45" i="1"/>
  <c r="I48" i="19"/>
  <c r="H48" i="19"/>
  <c r="G28" i="30" l="1"/>
  <c r="I28" i="30" s="1"/>
  <c r="I27" i="30"/>
  <c r="I26" i="30"/>
  <c r="I25" i="30"/>
  <c r="G25" i="30"/>
  <c r="F25" i="30"/>
  <c r="F28" i="30" s="1"/>
  <c r="E25" i="30"/>
  <c r="E28" i="30" s="1"/>
  <c r="I17" i="30"/>
  <c r="H17" i="30"/>
  <c r="G15" i="30"/>
  <c r="I15" i="30" s="1"/>
  <c r="F15" i="30"/>
  <c r="E15" i="30"/>
  <c r="I12" i="30"/>
  <c r="I11" i="30"/>
  <c r="I10" i="30"/>
  <c r="H10" i="30"/>
  <c r="I9" i="30"/>
  <c r="H9" i="30"/>
  <c r="G7" i="30"/>
  <c r="H7" i="30" s="1"/>
  <c r="F7" i="30"/>
  <c r="F18" i="30" s="1"/>
  <c r="F30" i="30" s="1"/>
  <c r="E7" i="30"/>
  <c r="E18" i="30" s="1"/>
  <c r="E30" i="30" s="1"/>
  <c r="F5" i="30"/>
  <c r="F23" i="30" s="1"/>
  <c r="I110" i="29"/>
  <c r="H110" i="29"/>
  <c r="I109" i="29"/>
  <c r="H109" i="29"/>
  <c r="G108" i="29"/>
  <c r="H108" i="29" s="1"/>
  <c r="F108" i="29"/>
  <c r="E108" i="29"/>
  <c r="I106" i="29"/>
  <c r="I105" i="29"/>
  <c r="I104" i="29"/>
  <c r="H104" i="29"/>
  <c r="I103" i="29"/>
  <c r="H103" i="29"/>
  <c r="G102" i="29"/>
  <c r="I102" i="29" s="1"/>
  <c r="F102" i="29"/>
  <c r="F111" i="29" s="1"/>
  <c r="E102" i="29"/>
  <c r="E111" i="29" s="1"/>
  <c r="I93" i="29"/>
  <c r="H93" i="29"/>
  <c r="I92" i="29"/>
  <c r="H92" i="29"/>
  <c r="G92" i="29"/>
  <c r="F92" i="29"/>
  <c r="E92" i="29"/>
  <c r="I91" i="29"/>
  <c r="I90" i="29"/>
  <c r="G90" i="29"/>
  <c r="F90" i="29"/>
  <c r="E90" i="29"/>
  <c r="I89" i="29"/>
  <c r="I88" i="29"/>
  <c r="H88" i="29"/>
  <c r="I87" i="29"/>
  <c r="H87" i="29"/>
  <c r="I86" i="29"/>
  <c r="H86" i="29"/>
  <c r="I85" i="29"/>
  <c r="H85" i="29"/>
  <c r="I84" i="29"/>
  <c r="H84" i="29"/>
  <c r="I83" i="29"/>
  <c r="H83" i="29"/>
  <c r="I82" i="29"/>
  <c r="H82" i="29"/>
  <c r="I81" i="29"/>
  <c r="H81" i="29"/>
  <c r="I80" i="29"/>
  <c r="H80" i="29"/>
  <c r="I79" i="29"/>
  <c r="G79" i="29"/>
  <c r="F79" i="29"/>
  <c r="E79" i="29"/>
  <c r="H79" i="29" s="1"/>
  <c r="I77" i="29"/>
  <c r="G76" i="29"/>
  <c r="I76" i="29" s="1"/>
  <c r="F76" i="29"/>
  <c r="F53" i="29" s="1"/>
  <c r="F40" i="29" s="1"/>
  <c r="E76" i="29"/>
  <c r="I75" i="29"/>
  <c r="H75" i="29"/>
  <c r="I74" i="29"/>
  <c r="H74" i="29"/>
  <c r="I73" i="29"/>
  <c r="H73" i="29"/>
  <c r="I72" i="29"/>
  <c r="H72" i="29"/>
  <c r="I71" i="29"/>
  <c r="H71" i="29"/>
  <c r="I70" i="29"/>
  <c r="H70" i="29"/>
  <c r="I69" i="29"/>
  <c r="H69" i="29"/>
  <c r="I68" i="29"/>
  <c r="H68" i="29"/>
  <c r="I67" i="29"/>
  <c r="H67" i="29"/>
  <c r="I66" i="29"/>
  <c r="H66" i="29"/>
  <c r="I65" i="29"/>
  <c r="H65" i="29"/>
  <c r="I64" i="29"/>
  <c r="H64" i="29"/>
  <c r="I63" i="29"/>
  <c r="H63" i="29"/>
  <c r="I62" i="29"/>
  <c r="H62" i="29"/>
  <c r="I61" i="29"/>
  <c r="H61" i="29"/>
  <c r="I60" i="29"/>
  <c r="H60" i="29"/>
  <c r="I59" i="29"/>
  <c r="H59" i="29"/>
  <c r="I58" i="29"/>
  <c r="H58" i="29"/>
  <c r="I57" i="29"/>
  <c r="H57" i="29"/>
  <c r="I56" i="29"/>
  <c r="H56" i="29"/>
  <c r="I55" i="29"/>
  <c r="H55" i="29"/>
  <c r="I54" i="29"/>
  <c r="H54" i="29"/>
  <c r="G53" i="29"/>
  <c r="I53" i="29" s="1"/>
  <c r="E53" i="29"/>
  <c r="I46" i="29"/>
  <c r="I45" i="29"/>
  <c r="I44" i="29"/>
  <c r="H44" i="29"/>
  <c r="I43" i="29"/>
  <c r="H43" i="29"/>
  <c r="I42" i="29"/>
  <c r="I41" i="29"/>
  <c r="H41" i="29"/>
  <c r="G41" i="29"/>
  <c r="G40" i="29" s="1"/>
  <c r="F41" i="29"/>
  <c r="E41" i="29"/>
  <c r="I38" i="29"/>
  <c r="H38" i="29"/>
  <c r="I37" i="29"/>
  <c r="H37" i="29"/>
  <c r="I36" i="29"/>
  <c r="G36" i="29"/>
  <c r="H36" i="29" s="1"/>
  <c r="F36" i="29"/>
  <c r="E36" i="29"/>
  <c r="I34" i="29"/>
  <c r="G33" i="29"/>
  <c r="I33" i="29" s="1"/>
  <c r="F33" i="29"/>
  <c r="E33" i="29"/>
  <c r="I32" i="29"/>
  <c r="I31" i="29"/>
  <c r="G31" i="29"/>
  <c r="F31" i="29"/>
  <c r="I30" i="29"/>
  <c r="H30" i="29"/>
  <c r="I29" i="29"/>
  <c r="H29" i="29"/>
  <c r="I28" i="29"/>
  <c r="H28" i="29"/>
  <c r="I27" i="29"/>
  <c r="H27" i="29"/>
  <c r="I26" i="29"/>
  <c r="H26" i="29"/>
  <c r="I25" i="29"/>
  <c r="H25" i="29"/>
  <c r="I24" i="29"/>
  <c r="H24" i="29"/>
  <c r="G23" i="29"/>
  <c r="I23" i="29" s="1"/>
  <c r="F23" i="29"/>
  <c r="F7" i="29" s="1"/>
  <c r="F94" i="29" s="1"/>
  <c r="E23" i="29"/>
  <c r="E7" i="29" s="1"/>
  <c r="I22" i="29"/>
  <c r="H22" i="29"/>
  <c r="I21" i="29"/>
  <c r="H21" i="29"/>
  <c r="I20" i="29"/>
  <c r="I18" i="29"/>
  <c r="H18" i="29"/>
  <c r="I17" i="29"/>
  <c r="H17" i="29"/>
  <c r="I16" i="29"/>
  <c r="H16" i="29"/>
  <c r="I15" i="29"/>
  <c r="H15" i="29"/>
  <c r="I14" i="29"/>
  <c r="H14" i="29"/>
  <c r="I13" i="29"/>
  <c r="H13" i="29"/>
  <c r="I12" i="29"/>
  <c r="H12" i="29"/>
  <c r="I11" i="29"/>
  <c r="H11" i="29"/>
  <c r="I10" i="29"/>
  <c r="H10" i="29"/>
  <c r="I9" i="29"/>
  <c r="H9" i="29"/>
  <c r="G8" i="29"/>
  <c r="I8" i="29" s="1"/>
  <c r="F8" i="29"/>
  <c r="E8" i="29"/>
  <c r="F5" i="29"/>
  <c r="F52" i="29" s="1"/>
  <c r="F100" i="29" s="1"/>
  <c r="F61" i="28"/>
  <c r="I60" i="28"/>
  <c r="I59" i="28"/>
  <c r="I58" i="28"/>
  <c r="I57" i="28"/>
  <c r="I56" i="28"/>
  <c r="I55" i="28"/>
  <c r="I54" i="28"/>
  <c r="I53" i="28"/>
  <c r="I52" i="28"/>
  <c r="H51" i="28"/>
  <c r="H50" i="28"/>
  <c r="I43" i="28"/>
  <c r="H43" i="28"/>
  <c r="H42" i="28"/>
  <c r="I41" i="28"/>
  <c r="H41" i="28"/>
  <c r="I40" i="28"/>
  <c r="H40" i="28"/>
  <c r="H39" i="28"/>
  <c r="I38" i="28"/>
  <c r="H38" i="28"/>
  <c r="I37" i="28"/>
  <c r="H37" i="28"/>
  <c r="H36" i="28"/>
  <c r="H35" i="28"/>
  <c r="I34" i="28"/>
  <c r="H34" i="28"/>
  <c r="I33" i="28"/>
  <c r="H33" i="28"/>
  <c r="I32" i="28"/>
  <c r="H32" i="28"/>
  <c r="I31" i="28"/>
  <c r="H31" i="28"/>
  <c r="H30" i="28"/>
  <c r="H29" i="28"/>
  <c r="H28" i="28"/>
  <c r="I27" i="28"/>
  <c r="H27" i="28"/>
  <c r="I26" i="28"/>
  <c r="H26" i="28"/>
  <c r="I25" i="28"/>
  <c r="H25" i="28"/>
  <c r="G24" i="28"/>
  <c r="I24" i="28" s="1"/>
  <c r="F24" i="28"/>
  <c r="E24" i="28"/>
  <c r="E61" i="28" s="1"/>
  <c r="E63" i="28" s="1"/>
  <c r="I16" i="28"/>
  <c r="H16" i="28"/>
  <c r="G15" i="28"/>
  <c r="I15" i="28" s="1"/>
  <c r="F15" i="28"/>
  <c r="E15" i="28"/>
  <c r="I13" i="28"/>
  <c r="H13" i="28"/>
  <c r="I12" i="28"/>
  <c r="H12" i="28"/>
  <c r="I11" i="28"/>
  <c r="H11" i="28"/>
  <c r="I10" i="28"/>
  <c r="H10" i="28"/>
  <c r="I9" i="28"/>
  <c r="H9" i="28"/>
  <c r="I8" i="28"/>
  <c r="H8" i="28"/>
  <c r="G7" i="28"/>
  <c r="F7" i="28"/>
  <c r="F17" i="28" s="1"/>
  <c r="E7" i="28"/>
  <c r="E17" i="28" s="1"/>
  <c r="F5" i="28"/>
  <c r="G5" i="28" s="1"/>
  <c r="F6" i="27"/>
  <c r="G6" i="27" s="1"/>
  <c r="E8" i="27"/>
  <c r="F8" i="27"/>
  <c r="G8" i="27"/>
  <c r="H8" i="27" s="1"/>
  <c r="H9" i="27"/>
  <c r="I9" i="27"/>
  <c r="H10" i="27"/>
  <c r="I10" i="27"/>
  <c r="H11" i="27"/>
  <c r="I11" i="27"/>
  <c r="I12" i="27"/>
  <c r="I13" i="27"/>
  <c r="E15" i="27"/>
  <c r="F15" i="27"/>
  <c r="G15" i="27"/>
  <c r="I16" i="27"/>
  <c r="E18" i="27"/>
  <c r="E38" i="27" s="1"/>
  <c r="E48" i="27" s="1"/>
  <c r="F18" i="27"/>
  <c r="G18" i="27"/>
  <c r="I18" i="27"/>
  <c r="I19" i="27"/>
  <c r="E21" i="27"/>
  <c r="F21" i="27"/>
  <c r="I21" i="27" s="1"/>
  <c r="G21" i="27"/>
  <c r="I22" i="27"/>
  <c r="E24" i="27"/>
  <c r="F24" i="27"/>
  <c r="G24" i="27"/>
  <c r="I24" i="27"/>
  <c r="I25" i="27"/>
  <c r="F27" i="27"/>
  <c r="G27" i="27"/>
  <c r="I28" i="27"/>
  <c r="I29" i="27"/>
  <c r="I30" i="27"/>
  <c r="I31" i="27"/>
  <c r="I32" i="27"/>
  <c r="I33" i="27"/>
  <c r="E35" i="27"/>
  <c r="F35" i="27"/>
  <c r="I35" i="27" s="1"/>
  <c r="G35" i="27"/>
  <c r="I36" i="27"/>
  <c r="I37" i="27"/>
  <c r="E44" i="27"/>
  <c r="E46" i="27" s="1"/>
  <c r="F44" i="27"/>
  <c r="F46" i="27" s="1"/>
  <c r="G44" i="27"/>
  <c r="G46" i="27" s="1"/>
  <c r="I44" i="27"/>
  <c r="I45" i="27"/>
  <c r="I8" i="27" l="1"/>
  <c r="I7" i="30"/>
  <c r="H8" i="29"/>
  <c r="G7" i="29"/>
  <c r="G94" i="29" s="1"/>
  <c r="F63" i="28"/>
  <c r="I7" i="28"/>
  <c r="F38" i="27"/>
  <c r="F48" i="27" s="1"/>
  <c r="I27" i="27"/>
  <c r="G38" i="27"/>
  <c r="G18" i="30"/>
  <c r="G5" i="30"/>
  <c r="G23" i="30" s="1"/>
  <c r="H15" i="30"/>
  <c r="I40" i="29"/>
  <c r="H40" i="29"/>
  <c r="F113" i="29"/>
  <c r="E94" i="29"/>
  <c r="E113" i="29" s="1"/>
  <c r="I108" i="29"/>
  <c r="H23" i="29"/>
  <c r="H53" i="29"/>
  <c r="G5" i="29"/>
  <c r="G52" i="29" s="1"/>
  <c r="G100" i="29" s="1"/>
  <c r="G111" i="29"/>
  <c r="H102" i="29"/>
  <c r="G17" i="28"/>
  <c r="H7" i="28"/>
  <c r="G61" i="28"/>
  <c r="H15" i="28"/>
  <c r="H24" i="28"/>
  <c r="I7" i="29" l="1"/>
  <c r="H7" i="29"/>
  <c r="G48" i="27"/>
  <c r="G30" i="30"/>
  <c r="I18" i="30"/>
  <c r="H18" i="30"/>
  <c r="I111" i="29"/>
  <c r="H111" i="29"/>
  <c r="I94" i="29"/>
  <c r="H94" i="29"/>
  <c r="G113" i="29"/>
  <c r="I17" i="28"/>
  <c r="H17" i="28"/>
  <c r="H61" i="28"/>
  <c r="I61" i="28"/>
  <c r="G63" i="28"/>
  <c r="I48" i="27" l="1"/>
  <c r="H48" i="27"/>
  <c r="H30" i="30"/>
  <c r="I113" i="29"/>
  <c r="H113" i="29"/>
  <c r="I63" i="28"/>
  <c r="H63" i="28"/>
  <c r="I247" i="20" l="1"/>
  <c r="I246" i="20"/>
  <c r="I245" i="20"/>
  <c r="I244" i="20"/>
  <c r="I243" i="20"/>
  <c r="F181" i="20" l="1"/>
  <c r="I189" i="20"/>
  <c r="I188" i="20" l="1"/>
  <c r="F187" i="20"/>
  <c r="F184" i="20" s="1"/>
  <c r="I187" i="20" l="1"/>
  <c r="I114" i="20" l="1"/>
  <c r="I123" i="20"/>
  <c r="I126" i="20"/>
  <c r="I127" i="20"/>
  <c r="I124" i="20"/>
  <c r="I121" i="20"/>
  <c r="I120" i="20"/>
  <c r="I118" i="20"/>
  <c r="I117" i="20"/>
  <c r="I115" i="20"/>
  <c r="I113" i="20"/>
  <c r="I111" i="20"/>
  <c r="I110" i="20"/>
  <c r="I108" i="20"/>
  <c r="I107" i="20"/>
  <c r="I104" i="20"/>
  <c r="I9" i="20"/>
  <c r="I158" i="20"/>
  <c r="I105" i="20"/>
  <c r="I97" i="20"/>
  <c r="I96" i="20"/>
  <c r="I95" i="20"/>
  <c r="I90" i="20"/>
  <c r="I89" i="20"/>
  <c r="I88" i="20"/>
  <c r="I87" i="20"/>
  <c r="I82" i="20"/>
  <c r="I81" i="20"/>
  <c r="I79" i="20"/>
  <c r="I78" i="20"/>
  <c r="I77" i="20"/>
  <c r="I75" i="20"/>
  <c r="I74" i="20"/>
  <c r="I71" i="20"/>
  <c r="I70" i="20"/>
  <c r="I68" i="20"/>
  <c r="I64" i="20"/>
  <c r="I63" i="20"/>
  <c r="I61" i="20"/>
  <c r="I60" i="20"/>
  <c r="I59" i="20"/>
  <c r="I57" i="20"/>
  <c r="I56" i="20"/>
  <c r="I49" i="20"/>
  <c r="I48" i="20"/>
  <c r="I46" i="20"/>
  <c r="I45" i="20"/>
  <c r="I43" i="20"/>
  <c r="I42" i="20"/>
  <c r="I40" i="20"/>
  <c r="I39" i="20"/>
  <c r="I34" i="20"/>
  <c r="I33" i="20"/>
  <c r="I31" i="20"/>
  <c r="I30" i="20"/>
  <c r="I28" i="20"/>
  <c r="I27" i="20"/>
  <c r="I25" i="20"/>
  <c r="I24" i="20"/>
  <c r="I22" i="20"/>
  <c r="I21" i="20"/>
  <c r="I19" i="20"/>
  <c r="I18" i="20"/>
  <c r="I16" i="20"/>
  <c r="I15" i="20"/>
  <c r="I125" i="20"/>
  <c r="I122" i="20"/>
  <c r="I119" i="20"/>
  <c r="I116" i="20"/>
  <c r="I112" i="20"/>
  <c r="I106" i="20"/>
  <c r="I103" i="20"/>
  <c r="I94" i="20"/>
  <c r="I91" i="20"/>
  <c r="I83" i="20"/>
  <c r="I80" i="20"/>
  <c r="I69" i="20"/>
  <c r="I65" i="20"/>
  <c r="I62" i="20"/>
  <c r="I58" i="20"/>
  <c r="I55" i="20"/>
  <c r="I47" i="20"/>
  <c r="I44" i="20"/>
  <c r="I41" i="20"/>
  <c r="I38" i="20"/>
  <c r="I35" i="20"/>
  <c r="I32" i="20"/>
  <c r="I29" i="20"/>
  <c r="I26" i="20"/>
  <c r="I23" i="20"/>
  <c r="I20" i="20"/>
  <c r="I17" i="20"/>
  <c r="I14" i="20"/>
  <c r="H13" i="20"/>
  <c r="I13" i="20"/>
  <c r="I12" i="20"/>
  <c r="I11" i="20"/>
  <c r="I10" i="20"/>
  <c r="I207" i="20" l="1"/>
  <c r="I206" i="20"/>
  <c r="I205" i="20"/>
  <c r="I204" i="20"/>
  <c r="I203" i="20"/>
  <c r="I202" i="20"/>
  <c r="H202" i="20"/>
  <c r="I192" i="20"/>
  <c r="H192" i="20"/>
  <c r="I191" i="20"/>
  <c r="H191" i="20"/>
  <c r="I190" i="20"/>
  <c r="H190" i="20"/>
  <c r="H189" i="20"/>
  <c r="I186" i="20"/>
  <c r="H186" i="20"/>
  <c r="I185" i="20"/>
  <c r="H185" i="20"/>
  <c r="E184" i="20"/>
  <c r="I208" i="20"/>
  <c r="I209" i="20"/>
  <c r="I235" i="20" l="1"/>
  <c r="I238" i="20"/>
  <c r="G169" i="20" l="1"/>
  <c r="I165" i="20"/>
  <c r="F164" i="20"/>
  <c r="G164" i="20"/>
  <c r="H235" i="20" l="1"/>
  <c r="I109" i="20" l="1"/>
  <c r="I86" i="20"/>
  <c r="I73" i="20"/>
  <c r="I76" i="20"/>
  <c r="I242" i="20" l="1"/>
  <c r="I241" i="20"/>
  <c r="I240" i="20"/>
  <c r="I237" i="20"/>
  <c r="I213" i="20"/>
  <c r="F153" i="20" l="1"/>
  <c r="F176" i="20" s="1"/>
  <c r="G153" i="20" l="1"/>
  <c r="G176" i="20" s="1"/>
  <c r="H127" i="20" l="1"/>
  <c r="H126" i="20"/>
  <c r="H125" i="20"/>
  <c r="H124" i="20"/>
  <c r="H123" i="20"/>
  <c r="H121" i="20"/>
  <c r="H120" i="20"/>
  <c r="H118" i="20"/>
  <c r="H117" i="20"/>
  <c r="H115" i="20"/>
  <c r="H114" i="20"/>
  <c r="H113" i="20"/>
  <c r="H111" i="20"/>
  <c r="H110" i="20"/>
  <c r="H108" i="20"/>
  <c r="H107" i="20"/>
  <c r="H105" i="20"/>
  <c r="H104" i="20"/>
  <c r="H97" i="20"/>
  <c r="H96" i="20"/>
  <c r="H95" i="20"/>
  <c r="H93" i="20"/>
  <c r="H92" i="20"/>
  <c r="H90" i="20"/>
  <c r="H89" i="20"/>
  <c r="H88" i="20"/>
  <c r="H87" i="20"/>
  <c r="H85" i="20"/>
  <c r="H84" i="20"/>
  <c r="H82" i="20"/>
  <c r="H81" i="20"/>
  <c r="H79" i="20"/>
  <c r="H78" i="20"/>
  <c r="H77" i="20"/>
  <c r="H75" i="20"/>
  <c r="H74" i="20"/>
  <c r="H71" i="20"/>
  <c r="H70" i="20"/>
  <c r="H68" i="20"/>
  <c r="H67" i="20"/>
  <c r="H66" i="20"/>
  <c r="H64" i="20"/>
  <c r="H63" i="20"/>
  <c r="H61" i="20"/>
  <c r="H60" i="20"/>
  <c r="H59" i="20"/>
  <c r="H57" i="20"/>
  <c r="H56" i="20"/>
  <c r="H122" i="20"/>
  <c r="H119" i="20"/>
  <c r="H116" i="20"/>
  <c r="H112" i="20"/>
  <c r="H106" i="20"/>
  <c r="H103" i="20"/>
  <c r="H94" i="20"/>
  <c r="H91" i="20"/>
  <c r="H83" i="20"/>
  <c r="H80" i="20"/>
  <c r="H73" i="20"/>
  <c r="H69" i="20"/>
  <c r="H65" i="20"/>
  <c r="H62" i="20"/>
  <c r="H58" i="20"/>
  <c r="H55" i="20"/>
  <c r="H47" i="20"/>
  <c r="H44" i="20"/>
  <c r="H41" i="20"/>
  <c r="H38" i="20"/>
  <c r="H35" i="20"/>
  <c r="H32" i="20"/>
  <c r="H29" i="20"/>
  <c r="H26" i="20"/>
  <c r="H23" i="20"/>
  <c r="H20" i="20"/>
  <c r="H17" i="20"/>
  <c r="H14" i="20"/>
  <c r="H9" i="20"/>
  <c r="H49" i="20"/>
  <c r="H48" i="20"/>
  <c r="H46" i="20"/>
  <c r="H45" i="20"/>
  <c r="H43" i="20"/>
  <c r="H42" i="20"/>
  <c r="H40" i="20"/>
  <c r="H39" i="20"/>
  <c r="H37" i="20"/>
  <c r="H36" i="20"/>
  <c r="H34" i="20"/>
  <c r="H33" i="20"/>
  <c r="H31" i="20"/>
  <c r="H30" i="20"/>
  <c r="H28" i="20"/>
  <c r="H27" i="20"/>
  <c r="H25" i="20"/>
  <c r="H24" i="20"/>
  <c r="H22" i="20"/>
  <c r="H21" i="20"/>
  <c r="H19" i="20"/>
  <c r="H18" i="20"/>
  <c r="H16" i="20"/>
  <c r="H15" i="20"/>
  <c r="H12" i="20"/>
  <c r="H11" i="20"/>
  <c r="H10" i="20"/>
  <c r="H158" i="20"/>
  <c r="H86" i="20" l="1"/>
  <c r="H76" i="20"/>
  <c r="H109" i="20"/>
  <c r="I182" i="20" l="1"/>
  <c r="I162" i="20" l="1"/>
  <c r="I181" i="20"/>
  <c r="I166" i="20" l="1"/>
  <c r="F169" i="20"/>
  <c r="I212" i="20" l="1"/>
  <c r="I211" i="20"/>
  <c r="I210" i="20"/>
  <c r="I236" i="20" l="1"/>
  <c r="I234" i="20"/>
  <c r="I226" i="20"/>
  <c r="I225" i="20"/>
  <c r="I224" i="20"/>
  <c r="I223" i="20"/>
  <c r="I222" i="20"/>
  <c r="I221" i="20"/>
  <c r="I220" i="20"/>
  <c r="I219" i="20"/>
  <c r="I218" i="20"/>
  <c r="I217" i="20"/>
  <c r="I216" i="20"/>
  <c r="I179" i="20"/>
  <c r="H236" i="20"/>
  <c r="H234" i="20"/>
  <c r="H226" i="20"/>
  <c r="H225" i="20"/>
  <c r="H224" i="20"/>
  <c r="H223" i="20"/>
  <c r="H222" i="20"/>
  <c r="H221" i="20"/>
  <c r="H220" i="20"/>
  <c r="H219" i="20"/>
  <c r="H218" i="20"/>
  <c r="H217" i="20"/>
  <c r="H216" i="20"/>
  <c r="H179" i="20"/>
  <c r="I170" i="20"/>
  <c r="I157" i="20"/>
  <c r="H155" i="20"/>
  <c r="H156" i="20"/>
  <c r="H157" i="20"/>
  <c r="H170" i="20"/>
  <c r="E178" i="20"/>
  <c r="F178" i="20"/>
  <c r="F249" i="20" s="1"/>
  <c r="G178" i="20"/>
  <c r="F154" i="20"/>
  <c r="F72" i="20"/>
  <c r="F8" i="20"/>
  <c r="E249" i="20" l="1"/>
  <c r="I178" i="20"/>
  <c r="G249" i="20"/>
  <c r="I249" i="20" s="1"/>
  <c r="F7" i="20"/>
  <c r="F171" i="20" s="1"/>
  <c r="I215" i="20"/>
  <c r="H178" i="20"/>
  <c r="H215" i="20"/>
  <c r="H249" i="20" l="1"/>
  <c r="F251" i="20"/>
  <c r="I164" i="20" l="1"/>
  <c r="G154" i="20"/>
  <c r="I154" i="20" s="1"/>
  <c r="G72" i="20"/>
  <c r="G8" i="20"/>
  <c r="I8" i="20" l="1"/>
  <c r="I72" i="20"/>
  <c r="G7" i="20"/>
  <c r="I169" i="20"/>
  <c r="G171" i="20" l="1"/>
  <c r="I171" i="20" s="1"/>
  <c r="E154" i="20"/>
  <c r="H154" i="20" s="1"/>
  <c r="G251" i="20" l="1"/>
  <c r="I251" i="20" s="1"/>
  <c r="E169" i="20" l="1"/>
  <c r="H169" i="20" s="1"/>
  <c r="I93" i="20" l="1"/>
  <c r="I92" i="20"/>
  <c r="I85" i="20"/>
  <c r="I84" i="20"/>
  <c r="I67" i="20"/>
  <c r="I66" i="20"/>
  <c r="I37" i="20"/>
  <c r="I36" i="20"/>
  <c r="E72" i="20" l="1"/>
  <c r="H72" i="20" s="1"/>
  <c r="E8" i="20"/>
  <c r="H8" i="20" s="1"/>
  <c r="E7" i="20" l="1"/>
  <c r="H7" i="20" s="1"/>
  <c r="I7" i="20" l="1"/>
  <c r="E164" i="20" l="1"/>
  <c r="E171" i="20" l="1"/>
  <c r="E251" i="20" l="1"/>
  <c r="H251" i="20" s="1"/>
  <c r="H171" i="20"/>
  <c r="I184" i="20" l="1"/>
  <c r="H184" i="20"/>
</calcChain>
</file>

<file path=xl/sharedStrings.xml><?xml version="1.0" encoding="utf-8"?>
<sst xmlns="http://schemas.openxmlformats.org/spreadsheetml/2006/main" count="1824" uniqueCount="662">
  <si>
    <t>Kapitola 01 – rozvoj obce</t>
  </si>
  <si>
    <t>Organiz.</t>
  </si>
  <si>
    <t>Číslo</t>
  </si>
  <si>
    <t>Název organizace,</t>
  </si>
  <si>
    <t>Schválený</t>
  </si>
  <si>
    <t>jednotka</t>
  </si>
  <si>
    <t>organizace</t>
  </si>
  <si>
    <t>činnosti</t>
  </si>
  <si>
    <t>Rozpočtová skladba (oddíl, §)</t>
  </si>
  <si>
    <t>(ORJ)</t>
  </si>
  <si>
    <t>(ORG)</t>
  </si>
  <si>
    <t>Běžné výdaje:</t>
  </si>
  <si>
    <t>3635 - územní plánování</t>
  </si>
  <si>
    <t>0105</t>
  </si>
  <si>
    <t>výkony rozhodnutí</t>
  </si>
  <si>
    <t>znalecké posudky</t>
  </si>
  <si>
    <t>Běžné výdaje celkem</t>
  </si>
  <si>
    <t xml:space="preserve">Kapitola 02 – městská infrastruktura  </t>
  </si>
  <si>
    <r>
      <t xml:space="preserve">                                                                                </t>
    </r>
    <r>
      <rPr>
        <u/>
        <sz val="10"/>
        <rFont val="Arial CE"/>
        <family val="2"/>
        <charset val="238"/>
      </rPr>
      <t/>
    </r>
  </si>
  <si>
    <t>0202</t>
  </si>
  <si>
    <t>kontejnerová služba</t>
  </si>
  <si>
    <t xml:space="preserve">3722 - sběr a svoz komunálních odpadů </t>
  </si>
  <si>
    <t xml:space="preserve">3723 - sběr a svoz ostatních odpadů </t>
  </si>
  <si>
    <t>činnost odboru</t>
  </si>
  <si>
    <t>3749 - ostatní činnosti k ochraně přírody a krajiny</t>
  </si>
  <si>
    <t>3745 - péče o vzhled obcí a veřejnou zeleň</t>
  </si>
  <si>
    <t>2219 - ostatní záležitosti pozemních komunikací</t>
  </si>
  <si>
    <t>Kapitola 03 – doprava</t>
  </si>
  <si>
    <t>0319</t>
  </si>
  <si>
    <t xml:space="preserve">odbor dopravy ÚMČ </t>
  </si>
  <si>
    <t>2219 - ost. záležitosti pozemních komunikací</t>
  </si>
  <si>
    <t>Kapitola 04 – školství, mládež a sport</t>
  </si>
  <si>
    <t>0414</t>
  </si>
  <si>
    <t>odbor školství ÚMČ</t>
  </si>
  <si>
    <t>MŠ s právní subjektivitou</t>
  </si>
  <si>
    <t>101</t>
  </si>
  <si>
    <t>3111 - předškolní zařízení</t>
  </si>
  <si>
    <t>102</t>
  </si>
  <si>
    <t>MŠ Sokolovská</t>
  </si>
  <si>
    <t>104</t>
  </si>
  <si>
    <t>MŠ Bojasova</t>
  </si>
  <si>
    <t>105</t>
  </si>
  <si>
    <t>MŠ U Sluncové</t>
  </si>
  <si>
    <t>106</t>
  </si>
  <si>
    <t>MŠ Kotlaska</t>
  </si>
  <si>
    <t>107</t>
  </si>
  <si>
    <t>MŠ Na Pěšinách</t>
  </si>
  <si>
    <t>108</t>
  </si>
  <si>
    <t>MŠ Šiškova</t>
  </si>
  <si>
    <t>109</t>
  </si>
  <si>
    <t>MŠ Šimůnkova</t>
  </si>
  <si>
    <t>110</t>
  </si>
  <si>
    <t>MŠ Chabařovická</t>
  </si>
  <si>
    <t>111</t>
  </si>
  <si>
    <t>MŠ Na Přesypu</t>
  </si>
  <si>
    <t>112</t>
  </si>
  <si>
    <t>MŠ Klíčanská</t>
  </si>
  <si>
    <t>113</t>
  </si>
  <si>
    <t>MŠ Poznaňská</t>
  </si>
  <si>
    <t>114</t>
  </si>
  <si>
    <t>MŠ Lešenská</t>
  </si>
  <si>
    <t>115</t>
  </si>
  <si>
    <t>MŠ Štěpničná</t>
  </si>
  <si>
    <t>116</t>
  </si>
  <si>
    <t>MŠ Libčická</t>
  </si>
  <si>
    <t>117</t>
  </si>
  <si>
    <t>MŠ Řešovská</t>
  </si>
  <si>
    <t>118</t>
  </si>
  <si>
    <t>MŠ Na Korábě</t>
  </si>
  <si>
    <t>119</t>
  </si>
  <si>
    <t>MŠ Krynická</t>
  </si>
  <si>
    <t>ZŠ s právní subjektivitou</t>
  </si>
  <si>
    <t>201</t>
  </si>
  <si>
    <t>ZŠ Libčická</t>
  </si>
  <si>
    <t>3113 - základní školy</t>
  </si>
  <si>
    <t>202</t>
  </si>
  <si>
    <t>ZŠ a MŠ U Školské zahrady</t>
  </si>
  <si>
    <t>203</t>
  </si>
  <si>
    <t>ZŠ Na Šutce</t>
  </si>
  <si>
    <t>204</t>
  </si>
  <si>
    <t>ZŠ a MŠ Petra Strozziho</t>
  </si>
  <si>
    <t>206</t>
  </si>
  <si>
    <t>ZŠ a MŠ Lyčkovo nám.</t>
  </si>
  <si>
    <t>207</t>
  </si>
  <si>
    <t xml:space="preserve">ZŠ Palmovka </t>
  </si>
  <si>
    <t>208</t>
  </si>
  <si>
    <t>210</t>
  </si>
  <si>
    <t>ZŠ Žernosecká</t>
  </si>
  <si>
    <t>211</t>
  </si>
  <si>
    <t>ZŠ a MŠ Dolákova</t>
  </si>
  <si>
    <t>212</t>
  </si>
  <si>
    <t>ZŠ Hovorčovická</t>
  </si>
  <si>
    <t>213</t>
  </si>
  <si>
    <t>ZŠ Glowackého</t>
  </si>
  <si>
    <t>214</t>
  </si>
  <si>
    <t>ZŠ "Mazurská" (Svídnická)</t>
  </si>
  <si>
    <t>215</t>
  </si>
  <si>
    <t>ZŠ a MŠ "Ústavní" (Hlivická)</t>
  </si>
  <si>
    <t>216</t>
  </si>
  <si>
    <t>ZŠ Burešova</t>
  </si>
  <si>
    <t>218</t>
  </si>
  <si>
    <t>ZŠ Bohumila Hrabala</t>
  </si>
  <si>
    <t>činnost odboru školství</t>
  </si>
  <si>
    <t>pol. 5169 - nákup služeb j.n.</t>
  </si>
  <si>
    <t>pol. 5163 - služby peněžních ústavů</t>
  </si>
  <si>
    <t>301</t>
  </si>
  <si>
    <t>Kapitola 05 – zdravotnictví a sociální oblast</t>
  </si>
  <si>
    <t>4329 - soc. péče a pomoc dětem a mládeži j.n.</t>
  </si>
  <si>
    <t>4349 - ost. soc. péče a pomoc ost. skupinám obyvatel.</t>
  </si>
  <si>
    <t>protidrogová prevence</t>
  </si>
  <si>
    <t>3541 - prevence před drogami</t>
  </si>
  <si>
    <t xml:space="preserve"> </t>
  </si>
  <si>
    <t>pol. 5136 - knihy, učební pomůcky a tisk</t>
  </si>
  <si>
    <t>pol. 5139 - nákup materiálu j.n.</t>
  </si>
  <si>
    <t>pol. 5167 - služby školení a vzdělávání</t>
  </si>
  <si>
    <t>3511 - všeobecná ambulantní péče</t>
  </si>
  <si>
    <t>pol. 5166 - konzultační, poradenské a právní služby</t>
  </si>
  <si>
    <t>3523 - odborné léčebné ústavy</t>
  </si>
  <si>
    <t xml:space="preserve">Gerontologické centrum, Praha 8 (GC) </t>
  </si>
  <si>
    <t>502</t>
  </si>
  <si>
    <t>4378 - terénní programy</t>
  </si>
  <si>
    <t xml:space="preserve">Kapitola 06 – kultura a cestovní ruch </t>
  </si>
  <si>
    <t>0617</t>
  </si>
  <si>
    <t>kulturní dům "KRAKOV"</t>
  </si>
  <si>
    <t xml:space="preserve">3392 - zájmová činnost v kultuře </t>
  </si>
  <si>
    <t>613</t>
  </si>
  <si>
    <t>3311 - divadelní činnost</t>
  </si>
  <si>
    <t>614</t>
  </si>
  <si>
    <t>redakce měsíčníku "Osmička"</t>
  </si>
  <si>
    <t>3349 - záležitosti sděl. prostředků j.n.</t>
  </si>
  <si>
    <t>616</t>
  </si>
  <si>
    <t>sportovní soutěže</t>
  </si>
  <si>
    <t>3421 - využití volného času dětí a mládeže</t>
  </si>
  <si>
    <t>kulturní památky</t>
  </si>
  <si>
    <t>3322 - zachování a obnova kulturních památek</t>
  </si>
  <si>
    <t>občanské záležitosti (vítání občánků, zlaté svatby apod.)</t>
  </si>
  <si>
    <t>3399 - záležitosti kultury, církví a sděl.prostř.j.n.</t>
  </si>
  <si>
    <t>výstavy</t>
  </si>
  <si>
    <t xml:space="preserve">3317 - výstavní činnost v kultuře </t>
  </si>
  <si>
    <t>3319 - záležitosti kultury j.n.</t>
  </si>
  <si>
    <t>0631</t>
  </si>
  <si>
    <t xml:space="preserve">odbor kancelář starosty ÚMČ </t>
  </si>
  <si>
    <t>3349 - záležitosti sděl.prostředků j.n.</t>
  </si>
  <si>
    <t>620</t>
  </si>
  <si>
    <t>propagace</t>
  </si>
  <si>
    <t>Kapitola 07 – bezpečnost</t>
  </si>
  <si>
    <t>5212 - ochrana obyvatelstva</t>
  </si>
  <si>
    <t>pol. 5137 - drobný hmotný majetek</t>
  </si>
  <si>
    <t xml:space="preserve">pol. 5139 - nákup materiálu j.n.  </t>
  </si>
  <si>
    <t>pol .5164 - nájemné</t>
  </si>
  <si>
    <t>pol. 5171 - opravy a udržování</t>
  </si>
  <si>
    <t>5311 - bezpečnost a veřejný pořádek</t>
  </si>
  <si>
    <t>pol. 5154 - elektrická energie</t>
  </si>
  <si>
    <t>Kapitola 08 – hospodářství</t>
  </si>
  <si>
    <t>0804</t>
  </si>
  <si>
    <t>3639 - komunální služby a územní rozvoj j. n.</t>
  </si>
  <si>
    <t xml:space="preserve">sociální pohřby </t>
  </si>
  <si>
    <t xml:space="preserve">3632 - pohřebnictví </t>
  </si>
  <si>
    <t>Kapitola 09 – vnitřní správa</t>
  </si>
  <si>
    <t>0901</t>
  </si>
  <si>
    <t>odbor kancelář tajemníka ÚMČ</t>
  </si>
  <si>
    <t>6171 - činnost místní správy</t>
  </si>
  <si>
    <t>pol. 5011 - platy zaměstnanců</t>
  </si>
  <si>
    <t>pol. 5021 - ostatní osobní výdaje</t>
  </si>
  <si>
    <t>Fond zaměstnavatele (UZ 00810)</t>
  </si>
  <si>
    <t>pol. 5499 - ostatní neinv.transfery (jubilea)</t>
  </si>
  <si>
    <t>pol. 5024 - odstupné</t>
  </si>
  <si>
    <t>pol. 5031 - povinné pojistné na sociální zabezpečení</t>
  </si>
  <si>
    <t>pol. 5424 - náhrady mezd v době nemoci</t>
  </si>
  <si>
    <t>pol. 5032 - povinné pojistné na zdravotní pojištění</t>
  </si>
  <si>
    <t>pol. 5038 - ost.povinné pojistné hrazené zaměstnavatelem</t>
  </si>
  <si>
    <t>pol. 5499 - ostatní  neinv.transfery obyv.j.n. (os.konta)</t>
  </si>
  <si>
    <t>6112 - zastupitelstva obcí</t>
  </si>
  <si>
    <t>pol. 5023 - odměny členů zastupitelstva</t>
  </si>
  <si>
    <t>pol. 5499 - ostatní neinv.transfery obyv.j.n.(os.konta)</t>
  </si>
  <si>
    <t>pol. 5172 - programové vybavení</t>
  </si>
  <si>
    <t>pol. 5178 - nájemné za nájem s právem koupě</t>
  </si>
  <si>
    <t xml:space="preserve">pol. 5134 - prádlo, oděv, obuv </t>
  </si>
  <si>
    <t>pol. 5151 - voda</t>
  </si>
  <si>
    <t>pol. 5153 - plyn</t>
  </si>
  <si>
    <t>pol. 5156 - pohonné hmoty a maziva</t>
  </si>
  <si>
    <t>pol. 5161 - služby pošty</t>
  </si>
  <si>
    <t>pol. 5162 - služby telekomunikací a radiokomunikací</t>
  </si>
  <si>
    <t>pol. 5169 - nákup služeb j.n.(přísp.na strav.zaměstn.)</t>
  </si>
  <si>
    <t>pol. 5173 - cestovné</t>
  </si>
  <si>
    <t>pol. 5175 - pohoštění</t>
  </si>
  <si>
    <t>soudní poplatky</t>
  </si>
  <si>
    <t>pol. 5192 - poskytnuté neinvest. příspěvky a náhrady</t>
  </si>
  <si>
    <t>pol. 5361 - nákup kolků</t>
  </si>
  <si>
    <t>pol. 5362 - platby daní a poplatků (dálniční známky)</t>
  </si>
  <si>
    <t>Kapitola 10 – pokladní správa</t>
  </si>
  <si>
    <t xml:space="preserve">Běžné výdaje: </t>
  </si>
  <si>
    <t>1003</t>
  </si>
  <si>
    <t>ekonomický odbor ÚMČ</t>
  </si>
  <si>
    <t>bankovní poplatky</t>
  </si>
  <si>
    <t>"povinné ručení" (zákonné pojištění)</t>
  </si>
  <si>
    <t>6320 - pojištění funkčně nespecifikované</t>
  </si>
  <si>
    <t>pol. 5499 - ostatní neinv.transfery obyv.j.n.</t>
  </si>
  <si>
    <t>pol. 5195 - odvody za neplnění povinnosti zaměstnávat</t>
  </si>
  <si>
    <t xml:space="preserve">                 zdravotně postižené</t>
  </si>
  <si>
    <t>0931</t>
  </si>
  <si>
    <t>911</t>
  </si>
  <si>
    <t>0922</t>
  </si>
  <si>
    <t>odbor právních služeb ÚMČ</t>
  </si>
  <si>
    <t>odbor kancelář starosty ÚMČ</t>
  </si>
  <si>
    <t>oddělení hospodářské správy</t>
  </si>
  <si>
    <t>0524</t>
  </si>
  <si>
    <t>odbor sociálních věcí ÚMČ</t>
  </si>
  <si>
    <t>1031</t>
  </si>
  <si>
    <t xml:space="preserve">oddělení hospodářské správy </t>
  </si>
  <si>
    <t>odbor správy majetku ÚMČ</t>
  </si>
  <si>
    <t>0824</t>
  </si>
  <si>
    <t>ZŠ a MŠ "Na Slovance"</t>
  </si>
  <si>
    <t>Servisní středisko pro správu</t>
  </si>
  <si>
    <t>3149 - ostatní zařízení související</t>
  </si>
  <si>
    <t>svěřeného majetku (SeS) MČ Praha 8</t>
  </si>
  <si>
    <t>úklid exkrementů</t>
  </si>
  <si>
    <t>odbor územního rozvoje a výstavby ÚMČ</t>
  </si>
  <si>
    <t>58</t>
  </si>
  <si>
    <t>55</t>
  </si>
  <si>
    <t>v %</t>
  </si>
  <si>
    <t>618</t>
  </si>
  <si>
    <t>3419 - ostatní tělovýchovná činnost</t>
  </si>
  <si>
    <t>0417</t>
  </si>
  <si>
    <t>opravy tiskového parku a ostatního HW</t>
  </si>
  <si>
    <t>pol. 5168 - zprac.dat a sl.související  s info a komun.techn.</t>
  </si>
  <si>
    <t>datové linky IP VPN, Internet</t>
  </si>
  <si>
    <t>zprac.dat a služby související s ICT</t>
  </si>
  <si>
    <t>výdaje spojené se zajišt.svateb (ORG58)</t>
  </si>
  <si>
    <t xml:space="preserve">Osmička pro rodinu </t>
  </si>
  <si>
    <t>využití volného času seniorů</t>
  </si>
  <si>
    <t>622</t>
  </si>
  <si>
    <t>zpracování studií a žádostí na projekty financované z fondu EU</t>
  </si>
  <si>
    <t>zimní údržba pěších cest</t>
  </si>
  <si>
    <t xml:space="preserve">           platy a odvody</t>
  </si>
  <si>
    <t xml:space="preserve">          příspěvek na provoz DH</t>
  </si>
  <si>
    <t xml:space="preserve">           anomálie, dvě budovy</t>
  </si>
  <si>
    <t>správa azylových bytů</t>
  </si>
  <si>
    <t>monitoring tisku, tiskové konference, včetně pohoštění a prezentace Prahy 8 v médiích</t>
  </si>
  <si>
    <t>public relations městské části Praha 8</t>
  </si>
  <si>
    <t>divadlo Karla Hackera</t>
  </si>
  <si>
    <t>odbor kultury, sportu, mládeže a památkové péče ÚMČ</t>
  </si>
  <si>
    <t>rozpočet</t>
  </si>
  <si>
    <t>MŠ Korycanská</t>
  </si>
  <si>
    <t>z toho: příspěvek na energie vč. platů topičů, vodné a stočné</t>
  </si>
  <si>
    <t xml:space="preserve">          příspěvek na energie vč. platů topičů, vodné a stočné</t>
  </si>
  <si>
    <t>z toho: příspěvek na energie vč. platů topičů vodné a stočné</t>
  </si>
  <si>
    <t>údržba dětských hřišť a sportovišť</t>
  </si>
  <si>
    <t xml:space="preserve">           odpisy</t>
  </si>
  <si>
    <t xml:space="preserve">          odpisy</t>
  </si>
  <si>
    <t>SPOD</t>
  </si>
  <si>
    <t>sociální oblast</t>
  </si>
  <si>
    <t>zdravotnictví</t>
  </si>
  <si>
    <t>503</t>
  </si>
  <si>
    <t>pol. 5169 - nákup služeb j.n.(očkování)</t>
  </si>
  <si>
    <t>analýzy dopravy</t>
  </si>
  <si>
    <t>péče památkové zóny, drobná umělecká díla</t>
  </si>
  <si>
    <t>3326 - poříz., zachov. a obnova hodnot místního kulturního, národ. a histor. povědomí</t>
  </si>
  <si>
    <t>fotokabinky s biometrickými daty</t>
  </si>
  <si>
    <t>cena Eduarda Štorcha</t>
  </si>
  <si>
    <t xml:space="preserve">veřejná zeleň </t>
  </si>
  <si>
    <t>příspěvek - nemoci z povolání</t>
  </si>
  <si>
    <t>odbor životního prostředí ÚMČ</t>
  </si>
  <si>
    <t>analytické a poradenské služby</t>
  </si>
  <si>
    <t>Sociální a ošetřovatelské služby (SOS) v Praze 8</t>
  </si>
  <si>
    <t xml:space="preserve">          náklady na stravování žáků</t>
  </si>
  <si>
    <t>zóny placeného stání (platební terminály)</t>
  </si>
  <si>
    <t>0911</t>
  </si>
  <si>
    <t xml:space="preserve">odbor informatiky ÚMČ </t>
  </si>
  <si>
    <t xml:space="preserve">kamerové systémy </t>
  </si>
  <si>
    <t>nákup SW a ostatního programového vybavení</t>
  </si>
  <si>
    <t>0525</t>
  </si>
  <si>
    <t>odbor zdravotnictví a sociálních služeb ÚMČ</t>
  </si>
  <si>
    <t>Nová Palmovka - právní služby</t>
  </si>
  <si>
    <t>odbor občansko-správní ÚMČ</t>
  </si>
  <si>
    <t>0906</t>
  </si>
  <si>
    <t>Post Bellum - příběhy našich sousedů</t>
  </si>
  <si>
    <t xml:space="preserve"> odbor evropských fondů ÚMČ</t>
  </si>
  <si>
    <t>0127</t>
  </si>
  <si>
    <t>terénní programy</t>
  </si>
  <si>
    <t>0726</t>
  </si>
  <si>
    <t>odbor evropských fondů ÚMČ</t>
  </si>
  <si>
    <t>právní služby, poskytnuté náhrady, sankce</t>
  </si>
  <si>
    <t>0427</t>
  </si>
  <si>
    <t>refundace</t>
  </si>
  <si>
    <t>pol. 5029 - ostatní platby za provedenou práci j.n.</t>
  </si>
  <si>
    <t>Čistá osmička</t>
  </si>
  <si>
    <t>2212 - silnice údržba</t>
  </si>
  <si>
    <t>zpracování studií a strategických vizí</t>
  </si>
  <si>
    <t>oddělení plánování a rozvoje</t>
  </si>
  <si>
    <t>kulturní dům "LÁDVÍ"</t>
  </si>
  <si>
    <t>ost. kulturní činnost</t>
  </si>
  <si>
    <t>mobilní kluziště</t>
  </si>
  <si>
    <t>na rok 2021</t>
  </si>
  <si>
    <t>2390409413517</t>
  </si>
  <si>
    <t xml:space="preserve">           dvě budovy</t>
  </si>
  <si>
    <t xml:space="preserve">           pronájem tělocvičny</t>
  </si>
  <si>
    <t xml:space="preserve">           vybavení Pernerova</t>
  </si>
  <si>
    <t xml:space="preserve">          bezp. a ekol. požadavky souvis. s chodem jídelny</t>
  </si>
  <si>
    <t>Muzeum Libně</t>
  </si>
  <si>
    <t>3315 - činnost muzeí a galerií</t>
  </si>
  <si>
    <t>vánoční osvětlení Prahy 8</t>
  </si>
  <si>
    <t>telefonní paušály, Městská policie HMP</t>
  </si>
  <si>
    <t>Jednotka sboru dobrovolných hasičů (JSDH)</t>
  </si>
  <si>
    <t>Kooperativa - pojištění hospodářských rizik</t>
  </si>
  <si>
    <t>x</t>
  </si>
  <si>
    <t>Plnění</t>
  </si>
  <si>
    <t xml:space="preserve">rozpočtu </t>
  </si>
  <si>
    <t>624</t>
  </si>
  <si>
    <t>623</t>
  </si>
  <si>
    <t>Kapitálové výdaje:</t>
  </si>
  <si>
    <t xml:space="preserve">Vybudování parkovacích stání v ulici Famfulíková,  Eledrova, Feřteková a Řešovská </t>
  </si>
  <si>
    <t>PD Úprava bezmotorové komunikace Šaldova-Negrelliho viadukt</t>
  </si>
  <si>
    <t xml:space="preserve">Vybudování parkovacích stání v ulici Hanouškova, Eledrova 
a Řešovská </t>
  </si>
  <si>
    <t>Vybudování bezmotorové komunikace A2 - Libeňský most až Šaldova</t>
  </si>
  <si>
    <t>Kapitálové výdaje celkem</t>
  </si>
  <si>
    <t>MŠ Korycanská - snížení energetické náročnosti</t>
  </si>
  <si>
    <t>MŠ Řešovská - snížení energetické náročnosti</t>
  </si>
  <si>
    <t>ZŠ Lyčkovo nám., Pernerova - snížení energetické náročnosti</t>
  </si>
  <si>
    <t>010119</t>
  </si>
  <si>
    <t>010219</t>
  </si>
  <si>
    <t>415017</t>
  </si>
  <si>
    <t>090120</t>
  </si>
  <si>
    <t>Pořízení řešení pro zálohování dat (HW+SW)</t>
  </si>
  <si>
    <t>090520</t>
  </si>
  <si>
    <t xml:space="preserve">AddNet - centrální správa a řízení přístupů do sítě </t>
  </si>
  <si>
    <t>091416</t>
  </si>
  <si>
    <t xml:space="preserve">PD - Revitalizace parku Dlážděnka (naučná stezka) </t>
  </si>
  <si>
    <t>81161090318</t>
  </si>
  <si>
    <t>Revitalizace parku Dlážděnka</t>
  </si>
  <si>
    <t>81233080220</t>
  </si>
  <si>
    <t>Rekonstrukce DPS Burešova</t>
  </si>
  <si>
    <t>3612 - bytové hospodářství</t>
  </si>
  <si>
    <t>80630080112</t>
  </si>
  <si>
    <t>Výstavba budovy Nová Palmovka</t>
  </si>
  <si>
    <t>3639 - komunální služby a územní rozvoj j.n.</t>
  </si>
  <si>
    <t>81306081520</t>
  </si>
  <si>
    <t>081620</t>
  </si>
  <si>
    <t>Komunikační a dohledový systém poliklinika Mazurská</t>
  </si>
  <si>
    <t>081720</t>
  </si>
  <si>
    <t>Požární hlásiče DPS Burešova 1151/12</t>
  </si>
  <si>
    <t>080520</t>
  </si>
  <si>
    <t>Rekonstrukce nákladního výtahu Taussigova 1172/1</t>
  </si>
  <si>
    <t>080720</t>
  </si>
  <si>
    <t>081220</t>
  </si>
  <si>
    <t>Technické zhodnocení MČ Praha 8</t>
  </si>
  <si>
    <t>080916</t>
  </si>
  <si>
    <t>Projektová příprava MČ Praha 8</t>
  </si>
  <si>
    <t>081417</t>
  </si>
  <si>
    <t>PD rekonstrukce divadla Karla Hackera, Klapkova 3/26 - doplatek</t>
  </si>
  <si>
    <t>3613 - nebytové hospodářství</t>
  </si>
  <si>
    <t>Rekonstrukce ležaté kanalizace Bínova 8,10,12</t>
  </si>
  <si>
    <t>Rekonstrukce zpevněných ploch jesle Mirovická</t>
  </si>
  <si>
    <t>Mazurská 484/2 - Celková rekonstrukce prostorů bývalé laboratoře ve 3. patře - změna užívání na ordinace</t>
  </si>
  <si>
    <t xml:space="preserve">Bulovka 1462/10,12 - Výměna výtahů 2x500 kg z důvodů stáří, exp. normy. Komponenty pro opravu již nejsou dostupné, vyšší náklady na úpravu prvků potřebných k opravě  </t>
  </si>
  <si>
    <t>DPS Burešova - Výměna 2 os. výtahů 2x500 z důvodů stáří, exp. normy. Komponenty nejsou dostupné na trhu a je nutné vydávat vyšší náklady na úpravu prvků potřebných k opravě</t>
  </si>
  <si>
    <t>040120</t>
  </si>
  <si>
    <t>Vklad do nadace</t>
  </si>
  <si>
    <t>020916</t>
  </si>
  <si>
    <t>Florenc - revitalizace zelených ploch u metra - studie a PD</t>
  </si>
  <si>
    <t>021216</t>
  </si>
  <si>
    <t>Revitalizace ploch malého rozsahu vč. PD</t>
  </si>
  <si>
    <t>021018</t>
  </si>
  <si>
    <t>Revitalizace prostr. na pozemku na parc. č. 2730/1 a 2730/3, Rokytka</t>
  </si>
  <si>
    <t>020116</t>
  </si>
  <si>
    <t>Výstavba podzemních kontejnerů II.etapa - inženýring (PD)</t>
  </si>
  <si>
    <t>80512020316</t>
  </si>
  <si>
    <t>Úprava pěších cest v Thomayerových sadech</t>
  </si>
  <si>
    <t>80760080118</t>
  </si>
  <si>
    <t>Revitalizace veřejných prostor Palmovka</t>
  </si>
  <si>
    <t>80515090316</t>
  </si>
  <si>
    <t>Revitalizace třešňového sadu v ul. Na Truhlářce na Bílé skále</t>
  </si>
  <si>
    <t>Rozpočet</t>
  </si>
  <si>
    <t xml:space="preserve">Plnění </t>
  </si>
  <si>
    <t>po změnách (RZ)</t>
  </si>
  <si>
    <t>k SR</t>
  </si>
  <si>
    <t>k RZ</t>
  </si>
  <si>
    <t>Kapitola 01 - rozvoj obce celkem</t>
  </si>
  <si>
    <t>Kapitola 02 - městská infrastruktura celkem</t>
  </si>
  <si>
    <t>Kapitola 03 - doprava celkem</t>
  </si>
  <si>
    <t>Kapitola 04 - školství, mládež a sport celkem</t>
  </si>
  <si>
    <t>Kapitola 08 - hospodářství celkem</t>
  </si>
  <si>
    <t>Kapitola 09 - vnitřní správa celkem</t>
  </si>
  <si>
    <t>Servisní středisko pro správu svěř. majetku (SeS) MČ Praha 8</t>
  </si>
  <si>
    <t>81307020120</t>
  </si>
  <si>
    <t>Výsadba stromořadí v k. ú. Kobylisy</t>
  </si>
  <si>
    <t>010120</t>
  </si>
  <si>
    <t>Výstavba nového kampusu veřejné vybavenosti</t>
  </si>
  <si>
    <t>010220</t>
  </si>
  <si>
    <t>81500030119</t>
  </si>
  <si>
    <t>Úprava bezmotorové komunikace A2 a A26</t>
  </si>
  <si>
    <t>Rekonstrukce Kolpingova domu</t>
  </si>
  <si>
    <t>042021</t>
  </si>
  <si>
    <t>5213 - krizová opatření</t>
  </si>
  <si>
    <t>COVID - 19 (dotace MHMP)</t>
  </si>
  <si>
    <t>0701</t>
  </si>
  <si>
    <t>0704</t>
  </si>
  <si>
    <t>0725</t>
  </si>
  <si>
    <t>080221</t>
  </si>
  <si>
    <t>080321</t>
  </si>
  <si>
    <t>080421</t>
  </si>
  <si>
    <t>0731</t>
  </si>
  <si>
    <t>040121</t>
  </si>
  <si>
    <t>040221</t>
  </si>
  <si>
    <t>040321</t>
  </si>
  <si>
    <t>040421</t>
  </si>
  <si>
    <t>040521</t>
  </si>
  <si>
    <t>040621</t>
  </si>
  <si>
    <t xml:space="preserve">040721 </t>
  </si>
  <si>
    <t>040821</t>
  </si>
  <si>
    <t>041021</t>
  </si>
  <si>
    <t>041121</t>
  </si>
  <si>
    <t>041221</t>
  </si>
  <si>
    <t xml:space="preserve">041321 </t>
  </si>
  <si>
    <t>041421</t>
  </si>
  <si>
    <t>041621</t>
  </si>
  <si>
    <t>041521</t>
  </si>
  <si>
    <t>041721</t>
  </si>
  <si>
    <t xml:space="preserve">041921 </t>
  </si>
  <si>
    <t>041821</t>
  </si>
  <si>
    <t>2541060411318</t>
  </si>
  <si>
    <t>2541063413217</t>
  </si>
  <si>
    <t>2541064412817</t>
  </si>
  <si>
    <t>2541065413017</t>
  </si>
  <si>
    <t>2541069041118</t>
  </si>
  <si>
    <t>2541104412717</t>
  </si>
  <si>
    <t>2541105413117</t>
  </si>
  <si>
    <t>2541107041820</t>
  </si>
  <si>
    <t>2541109415617</t>
  </si>
  <si>
    <t>2541113412917</t>
  </si>
  <si>
    <t>0504</t>
  </si>
  <si>
    <t>Kapitola 05 -  zdravotnictví celkem</t>
  </si>
  <si>
    <t>0403</t>
  </si>
  <si>
    <t>odbor ekonomický</t>
  </si>
  <si>
    <t xml:space="preserve"> neinvest.dotace na sport,kulturu,zravodtnictví</t>
  </si>
  <si>
    <t xml:space="preserve">6409 - ostatní činnosti j.n. </t>
  </si>
  <si>
    <t>0402</t>
  </si>
  <si>
    <t>Vybudování Fitparku</t>
  </si>
  <si>
    <t>neinvest. převody mezi hl. m. Prahou a MČ</t>
  </si>
  <si>
    <t>technické konto</t>
  </si>
  <si>
    <t>6330 - převody vl. fondům v rozpočtech územní úrovně</t>
  </si>
  <si>
    <t>6409 - ostatní činnosti j. n.</t>
  </si>
  <si>
    <t xml:space="preserve">Kapitálové výdaje: </t>
  </si>
  <si>
    <t>150</t>
  </si>
  <si>
    <t>COVID - 19 (rezerva vytvořená z dotace hl. m. Prahy)</t>
  </si>
  <si>
    <t>Kapitola 10 - pokladní správa celkem</t>
  </si>
  <si>
    <r>
      <t xml:space="preserve">pol. 5171 - opravy a udržování </t>
    </r>
    <r>
      <rPr>
        <i/>
        <sz val="10"/>
        <color theme="1"/>
        <rFont val="Arial"/>
        <family val="2"/>
        <charset val="238"/>
      </rPr>
      <t>(hardware)</t>
    </r>
  </si>
  <si>
    <t>s výchovou a vzděláváním mládeže</t>
  </si>
  <si>
    <t>4351 - osobní asistence, pečovatelská služba 
a podpora samostatného bydlení</t>
  </si>
  <si>
    <t>Palmovka (předláždění křižovatky a kontejnerová kavárna)</t>
  </si>
  <si>
    <t>pol. 5152 - teplo</t>
  </si>
  <si>
    <t xml:space="preserve"> vlastního hospodaření městské části Praha 8 a příspěvkových právnických osob (organizací)</t>
  </si>
  <si>
    <t>zřízených městskou částí Praha 8</t>
  </si>
  <si>
    <t>(v tis. Kč)</t>
  </si>
  <si>
    <t xml:space="preserve">Výstavba workoutové sestavy v ul. Ouholická </t>
  </si>
  <si>
    <t>0714</t>
  </si>
  <si>
    <t>odbor školství</t>
  </si>
  <si>
    <t>080521</t>
  </si>
  <si>
    <t>Pořízení a montáž klimatizačních jednotek</t>
  </si>
  <si>
    <t>043020</t>
  </si>
  <si>
    <t>042321</t>
  </si>
  <si>
    <t>042121</t>
  </si>
  <si>
    <t>042221</t>
  </si>
  <si>
    <t xml:space="preserve">pol. 5321 - neinvestiční transfery obcím </t>
  </si>
  <si>
    <t xml:space="preserve">pol. 5492 - dary obyvatelstvu </t>
  </si>
  <si>
    <t>Zhotovení svejlů (příkopy zadržující vodu)</t>
  </si>
  <si>
    <t>Výsadba, založení květnatých luk</t>
  </si>
  <si>
    <t>správa smluv a správa zásad pro výstavbu</t>
  </si>
  <si>
    <t>dotace na sport</t>
  </si>
  <si>
    <t>Kapitola 06 -  kultura a cestovní ruch celkem</t>
  </si>
  <si>
    <t>060221</t>
  </si>
  <si>
    <t>060121</t>
  </si>
  <si>
    <t>Rozvaděč pro mobilní kluziště</t>
  </si>
  <si>
    <t>Vybavení kulturně-společenského centra Libeň. svět</t>
  </si>
  <si>
    <t>81585080621</t>
  </si>
  <si>
    <t>6402 - finanční vypořádání</t>
  </si>
  <si>
    <t xml:space="preserve">6310 - obecné příjmy a výdaje z fin.operací </t>
  </si>
  <si>
    <t>6310 - obecné příjmy a výdaje z fin.operací</t>
  </si>
  <si>
    <t>náhrada na ZČ za plnění daň. povinnosti</t>
  </si>
  <si>
    <t>vratky investičních dotací</t>
  </si>
  <si>
    <t>042920</t>
  </si>
  <si>
    <t xml:space="preserve">6114 - Volby do Parlamentu ČR  </t>
  </si>
  <si>
    <t>volby do Poslanecké směnovny Parlamentu ČR</t>
  </si>
  <si>
    <t>6149 - ostatní všeobecná vnitřní správa j.n.</t>
  </si>
  <si>
    <t xml:space="preserve">asistence pro sčítací komisaře </t>
  </si>
  <si>
    <t>ostatní neinv.transfery nezisk.a podob.organizacím</t>
  </si>
  <si>
    <t>neinvest.dotace na sport,kulturu,zravodtnictví</t>
  </si>
  <si>
    <t xml:space="preserve">elektrická energie VO parkoviště Nekvasilova, Nová Palmovka, 
kavárna Krakov </t>
  </si>
  <si>
    <t>Rozpočtová skladba</t>
  </si>
  <si>
    <t>konzultační, poradenská a organiz. činnost IN HOUSE</t>
  </si>
  <si>
    <t>neinvestiční transféry (dotace VHP)</t>
  </si>
  <si>
    <t>Kapitola 07 -  bezpečnost celkem</t>
  </si>
  <si>
    <t>020221</t>
  </si>
  <si>
    <t>042621</t>
  </si>
  <si>
    <t>042521</t>
  </si>
  <si>
    <t>042819</t>
  </si>
  <si>
    <t>042721</t>
  </si>
  <si>
    <t>042421</t>
  </si>
  <si>
    <t>81681042721</t>
  </si>
  <si>
    <t>050221</t>
  </si>
  <si>
    <t>odbor zdravotnictví a sociáloních služeb ÚMČ</t>
  </si>
  <si>
    <t>050321</t>
  </si>
  <si>
    <t xml:space="preserve"> PD na zkapacitnění a rekonstrukci obj. Pol. Mazur </t>
  </si>
  <si>
    <t>OP PPR - inovativní přístup k řešení kriz. situací</t>
  </si>
  <si>
    <t>0711</t>
  </si>
  <si>
    <t>platy a ostatní soboní výdaje</t>
  </si>
  <si>
    <t>010719</t>
  </si>
  <si>
    <t>Výstavba nové ZŠ na Rohanském ostrově</t>
  </si>
  <si>
    <t>Nákup nového vozu SOS</t>
  </si>
  <si>
    <t>Nákup Hardware SOS</t>
  </si>
  <si>
    <t>Úprava sociálního zařízení v lůžkovém odd. budovy Benákova 1 100 v GC</t>
  </si>
  <si>
    <t xml:space="preserve">3523 - odborné léčebné ústavy </t>
  </si>
  <si>
    <t>4351 - osobní asist., peč.služba a podpora samost.bydlení</t>
  </si>
  <si>
    <t xml:space="preserve">3539 - ostatní zdravotnická zaříz.a služby pro zdravot. </t>
  </si>
  <si>
    <t>3315 - činnosti muzeí a galerií</t>
  </si>
  <si>
    <t>3399 - ostatní záležitosti kultury,církví a sděl.prostř.</t>
  </si>
  <si>
    <t>030218</t>
  </si>
  <si>
    <t>030219</t>
  </si>
  <si>
    <t>030220</t>
  </si>
  <si>
    <t>030319</t>
  </si>
  <si>
    <t xml:space="preserve">3311 - mateřské školy </t>
  </si>
  <si>
    <t>81626020221</t>
  </si>
  <si>
    <t>81627020321</t>
  </si>
  <si>
    <t>080820</t>
  </si>
  <si>
    <t>082720</t>
  </si>
  <si>
    <t>082620</t>
  </si>
  <si>
    <t>082520</t>
  </si>
  <si>
    <t>082420</t>
  </si>
  <si>
    <t>080920</t>
  </si>
  <si>
    <t>082020</t>
  </si>
  <si>
    <t>082120</t>
  </si>
  <si>
    <t>81129080320</t>
  </si>
  <si>
    <t xml:space="preserve">090121 </t>
  </si>
  <si>
    <t>COVID - 19 (Sbírka)</t>
  </si>
  <si>
    <t>Rekonstrukce opěrné zdi a stabilizace svahu</t>
  </si>
  <si>
    <t>81519080120</t>
  </si>
  <si>
    <t>Rekonstrukce zabezpečovacích prvků služebny PČR, Rajmonova 1637/2</t>
  </si>
  <si>
    <t>6330 - převody vlastním fondům v rozpočtech územní úrovně</t>
  </si>
  <si>
    <t>Výstavby budovy nová Palmovka (vratka)</t>
  </si>
  <si>
    <t xml:space="preserve">040921 </t>
  </si>
  <si>
    <t>80372043117</t>
  </si>
  <si>
    <t>80707021017</t>
  </si>
  <si>
    <t xml:space="preserve">81518040120 </t>
  </si>
  <si>
    <t>80560413617</t>
  </si>
  <si>
    <t>ZŠ B. Hrabala - Myčka do ŠJ</t>
  </si>
  <si>
    <t>3111 - mateřské školy</t>
  </si>
  <si>
    <t>ZŠ a MŠ P.Strozziho - Přeložka kabelu trakčního vedení</t>
  </si>
  <si>
    <t>MŠ Lešenská - Gastrovybavení</t>
  </si>
  <si>
    <t>MŠ Řešovská - Elektrická pánev do ŠJ</t>
  </si>
  <si>
    <t>ZŠ Hovorčovická - Výdejní pult vč. přísluš. pro ŠJ</t>
  </si>
  <si>
    <t>MŠ Štěpničná - Interaktivní tabule s pojízdným panelem</t>
  </si>
  <si>
    <t xml:space="preserve">ZŠ Glowackého - Vybavení IT učebny </t>
  </si>
  <si>
    <t>ZŠ Hovorčovická - Sestava plynových spotřebičů pro ŠJ (ventil, sporák, kotel, sklopná pánev a konvektomat)</t>
  </si>
  <si>
    <t xml:space="preserve">ZŠ Glowackého - II. etapa modernizace zařízení a vybavení tříd </t>
  </si>
  <si>
    <t xml:space="preserve">ZŠ Libčická - II. etapa modernizace zařízení a vybavení tříd </t>
  </si>
  <si>
    <t xml:space="preserve">ZŠ Dolákova - II. etapa modernizace zařízení a vybavení tříd </t>
  </si>
  <si>
    <t xml:space="preserve">ZŠ B. Hrabala - II. etapa modernizace zařízení a vybavení tříd </t>
  </si>
  <si>
    <t xml:space="preserve">ZŠ U Šk. zahrady - II. etapa modernizace zařízení a vybavení tříd </t>
  </si>
  <si>
    <t xml:space="preserve">ZŠ Hovorčovická - II. etapa modernizace zařízení a vybavení tříd </t>
  </si>
  <si>
    <t xml:space="preserve">ZŠ Ústavní - II. etapa modernizace zařízení a vybavení tříd </t>
  </si>
  <si>
    <t xml:space="preserve">ZŠ Žernosecká - II. etapa modernizace zařízení a vybavení tříd </t>
  </si>
  <si>
    <t xml:space="preserve">ZŠ Lyčkovo nám.  - II. etapa modernizace zařízení a vybavení tříd </t>
  </si>
  <si>
    <t xml:space="preserve">ZŠ Glowackého - III. etapa modernizace zařízení a vybavení tříd </t>
  </si>
  <si>
    <t>ZŠ Dolákova - Rekonstrukce povrchu víceúčelového venkovního hřiště</t>
  </si>
  <si>
    <t xml:space="preserve">3429 - ostatní zájmová činnost a rekreace </t>
  </si>
  <si>
    <t>ZŠ a MŠ Na Korábě - Výměna oken III. etapa</t>
  </si>
  <si>
    <t xml:space="preserve">ZŠ Na Šutce - Rekonstrukce ZTI </t>
  </si>
  <si>
    <t>ZŠ Žernosecká - Rekonstrukce svislých rozvodů vody (stoupačky)</t>
  </si>
  <si>
    <t>MŠ + ZŠ - Projektová příprava pro IV</t>
  </si>
  <si>
    <t>MŠ + ZŠ - Investiční akce malého rozsahu</t>
  </si>
  <si>
    <t>MŠ + ZŠ - Technická a právní pomoc pro IV</t>
  </si>
  <si>
    <t>3149 - ostatní zařízení související s výchovou a vzdělávání mládeže</t>
  </si>
  <si>
    <t>ZŠ Palmovka - Výměna oken</t>
  </si>
  <si>
    <t>ZŠ Žernosecká - Kompletní rekonstrukce elektrických rozvodů v celém objektu - I.etapa</t>
  </si>
  <si>
    <t>ZŠ Dolákova - Reko. rozvodů elektro, podhledů a osvětlovacích těles - II. etapa</t>
  </si>
  <si>
    <t xml:space="preserve">ZŠ Libčická - Reko. rozvodů elektro, podhledů a osvětlovacích těles - I. etapa </t>
  </si>
  <si>
    <t>ZŠ Libčická - Dodávka a montáž předokenních rolet</t>
  </si>
  <si>
    <t>ZŠ Ústavní - Rekonstrukce podlah a stěn malé tělocvičny</t>
  </si>
  <si>
    <t xml:space="preserve">ZŠ B. Hrabala - Sportovní areál  </t>
  </si>
  <si>
    <t>ZŠ Na Korábě - Rekonstrukce venkovních pobytových ploch</t>
  </si>
  <si>
    <t xml:space="preserve">ZŠ LOPES Čimice - Rekonstrukce šaten </t>
  </si>
  <si>
    <t>ZŠ B. Hrabala - Oplocení sportovního areálu a zhotovení přístřešku pro víceúčelové hřiště</t>
  </si>
  <si>
    <t xml:space="preserve">ZŠ Mazurská - Výstavba víceúčel.hřiště pro nafuk. halu </t>
  </si>
  <si>
    <t xml:space="preserve">MŠ Chabařovická - Rekonstrukce ležatých rozvodů UT </t>
  </si>
  <si>
    <t>ZŠ Na Šutce - Rekonstrukce velké tělocvičny</t>
  </si>
  <si>
    <t>Objekt Chabařovická - Rekon. top. systému v Klokánku</t>
  </si>
  <si>
    <t xml:space="preserve">ZŠ Na Slovance - II. etapa modernizace zařízení a vybavení tříd </t>
  </si>
  <si>
    <t>ZŠ Lyčkovo nám., Pernerova - Navýšení kapacity základního vzdělávání za účelem sociální inkluze</t>
  </si>
  <si>
    <t>ZŠ Lyčkovo nám., Pernerova - Navýšení kapacity zákl. vzdělání za účelem soc. inkluze ZŠ Pernerova</t>
  </si>
  <si>
    <t>str. 18/18</t>
  </si>
  <si>
    <t>str. 17/18</t>
  </si>
  <si>
    <t>str. 16/18</t>
  </si>
  <si>
    <t>str. 15/18</t>
  </si>
  <si>
    <t>str. 14/18</t>
  </si>
  <si>
    <t>str. 13/18</t>
  </si>
  <si>
    <t>str. 12/18</t>
  </si>
  <si>
    <t>str. 11/18</t>
  </si>
  <si>
    <t>str. 10/18</t>
  </si>
  <si>
    <t>str. 9/18</t>
  </si>
  <si>
    <t>str. 8/18</t>
  </si>
  <si>
    <t>str. 7/18</t>
  </si>
  <si>
    <t>str. 6/18</t>
  </si>
  <si>
    <t>str. 5/18</t>
  </si>
  <si>
    <t>str. 4/18</t>
  </si>
  <si>
    <t>str. 3/18</t>
  </si>
  <si>
    <t>str. 2/18</t>
  </si>
  <si>
    <t>str. 1/18</t>
  </si>
  <si>
    <t>DPS Burešova 12 - Vybudování turniketového systému</t>
  </si>
  <si>
    <t>Zabezpečení bytových domů (kamery+čipy) Bínova 8, 10, 12</t>
  </si>
  <si>
    <t>DPS Burešova - Výměna hydrantů a rozvodu pořárního potrubí</t>
  </si>
  <si>
    <t>DPS Burešova - Evakuační rozhlas ERO</t>
  </si>
  <si>
    <t>Poliklinika Mazurská - Rekonstrukce ordinací</t>
  </si>
  <si>
    <t>Příslušenství - Sportovní plocha Meteor</t>
  </si>
  <si>
    <t>DPS Burešova - Nouzové osvětlení</t>
  </si>
  <si>
    <t xml:space="preserve">ZŠ a MŠ Lyčkovo nám. - Výstavba tělocvičny, ŠK a ŠJ </t>
  </si>
  <si>
    <t xml:space="preserve">4339 - ostatní sociální péče a pomoc rodině a manželství  </t>
  </si>
  <si>
    <t>Pořízení a umístění herního prvku na dětském hřišti Burešova</t>
  </si>
  <si>
    <t>Rekonstrukce parkoviště  Nekvasilova</t>
  </si>
  <si>
    <t>020121</t>
  </si>
  <si>
    <t xml:space="preserve">  Plnění rozpočtu městské části Praha 8 za rok 2021</t>
  </si>
  <si>
    <t>Pořízení stanů (proviz. sklad na mater., COVID-19)</t>
  </si>
  <si>
    <t>Odbor bezpečnosti a krizového řízení ÚMČ</t>
  </si>
  <si>
    <t>080621</t>
  </si>
  <si>
    <t>Rekonstrukce kotelny Bešťákova 457/5</t>
  </si>
  <si>
    <t>080721</t>
  </si>
  <si>
    <t>Rekonstrukce kotelny Nekvasilova 625/2</t>
  </si>
  <si>
    <t>080821</t>
  </si>
  <si>
    <t>Stavební úpravy a změna užívání části objektu v 1. NP Pol. Mazurská</t>
  </si>
  <si>
    <t>080921</t>
  </si>
  <si>
    <t>Přestavba NP pro dětskou skupinu</t>
  </si>
  <si>
    <t>081021</t>
  </si>
  <si>
    <t>Nákup pozemku p.č.527/111, k.ú. Střížkov</t>
  </si>
  <si>
    <t>pol. 5164 - nájemné</t>
  </si>
  <si>
    <t>090221</t>
  </si>
  <si>
    <t xml:space="preserve"> Obnova NAS zařízení </t>
  </si>
  <si>
    <t xml:space="preserve"> 5212 - ochrana obyvatelstva</t>
  </si>
  <si>
    <t>060421</t>
  </si>
  <si>
    <t>Nákup 2 kontejnerů na uskladnění mobiliáře z kluzišť</t>
  </si>
  <si>
    <t>060521</t>
  </si>
  <si>
    <t>060621</t>
  </si>
  <si>
    <t>Nákup nafukovacího plátna 1100x690 cm</t>
  </si>
  <si>
    <t>060721</t>
  </si>
  <si>
    <t>Nákup objektivu Nikon 80-400mm f/4,5-5,6 G AF-S ED VR</t>
  </si>
  <si>
    <t>060821</t>
  </si>
  <si>
    <t>TZ dvou mobilních kluzišť</t>
  </si>
  <si>
    <t>15589021516</t>
  </si>
  <si>
    <t>Výstavba a modernizace zařízení na sběr, třídění a využití odpadu (podzem. kontejnery)</t>
  </si>
  <si>
    <t>poskytnutý dar na podporu „Srdce Osmičky"</t>
  </si>
  <si>
    <t>0428212</t>
  </si>
  <si>
    <t>Nová Palmovka BV (ostraha objektu, odměna OSMS a.s.)</t>
  </si>
  <si>
    <t>neinvest. dotace na sport, kulturu a zdravotnictví (ÚZ 98)</t>
  </si>
  <si>
    <t>ZŠ a MŠ - Výměna kotlů dle nové vyhlášky platné od 1.1.2020 ZŠ U Školské zahrady</t>
  </si>
  <si>
    <t>ZŠ a MŠ - Rekonstrukce rozvodů ZTI (MŠ Klíčanská)</t>
  </si>
  <si>
    <t>ZŠ Glowackého - Rekonstrukce podhledu ve ŠJ</t>
  </si>
  <si>
    <t>ZŠ Dolákova - Rekonstrukce zázemí softbalové hřiště</t>
  </si>
  <si>
    <t>Rekonstrukce a přístavba budovy v užívání MP  HMP</t>
  </si>
  <si>
    <t>Nákup projektoru na mobilní podium</t>
  </si>
  <si>
    <t xml:space="preserve">         </t>
  </si>
  <si>
    <r>
      <t xml:space="preserve"> </t>
    </r>
    <r>
      <rPr>
        <b/>
        <sz val="12"/>
        <rFont val="Arial CE"/>
        <charset val="238"/>
      </rPr>
      <t>Běžné (neinvestiční) a kapitálové (investiční) výdaje</t>
    </r>
  </si>
  <si>
    <t>Zastupitelstva městské části Praha 8</t>
  </si>
  <si>
    <t>ze dne 29. června 2022</t>
  </si>
  <si>
    <t>Příloha č. 3 usnesení č. Usn ZMC 024/2022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</si>
</sst>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#,##0.0"/>
  </numFmts>
  <fonts count="28" x14ac:knownFonts="1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14"/>
      <name val="Arial CE"/>
      <family val="2"/>
      <charset val="238"/>
    </font>
    <font>
      <u/>
      <sz val="10"/>
      <name val="Arial CE"/>
      <family val="2"/>
      <charset val="238"/>
    </font>
    <font>
      <sz val="10"/>
      <name val="Arial"/>
      <family val="2"/>
      <charset val="238"/>
    </font>
    <font>
      <i/>
      <sz val="10"/>
      <name val="Arial"/>
      <family val="2"/>
      <charset val="238"/>
    </font>
    <font>
      <b/>
      <sz val="12"/>
      <name val="Arial"/>
      <family val="2"/>
      <charset val="238"/>
    </font>
    <font>
      <sz val="11"/>
      <color theme="1"/>
      <name val="Arial"/>
      <family val="2"/>
      <charset val="238"/>
    </font>
    <font>
      <b/>
      <sz val="10"/>
      <name val="Arial"/>
      <family val="2"/>
      <charset val="238"/>
    </font>
    <font>
      <b/>
      <i/>
      <sz val="10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b/>
      <sz val="11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color indexed="8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rgb="FFFF0000"/>
      <name val="Arial"/>
      <family val="2"/>
      <charset val="238"/>
    </font>
    <font>
      <sz val="12"/>
      <name val="Arial"/>
      <family val="2"/>
      <charset val="238"/>
    </font>
    <font>
      <sz val="12"/>
      <color theme="1"/>
      <name val="Arial"/>
      <family val="2"/>
      <charset val="238"/>
    </font>
    <font>
      <sz val="10"/>
      <color rgb="FFFF0000"/>
      <name val="Arial"/>
      <family val="2"/>
      <charset val="238"/>
    </font>
    <font>
      <b/>
      <sz val="10"/>
      <color theme="1"/>
      <name val="Arial"/>
      <family val="2"/>
      <charset val="238"/>
    </font>
    <font>
      <sz val="12"/>
      <color rgb="FFFF0000"/>
      <name val="Arial"/>
      <family val="2"/>
      <charset val="238"/>
    </font>
    <font>
      <i/>
      <sz val="10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b/>
      <sz val="16"/>
      <name val="Arial CE"/>
      <charset val="238"/>
    </font>
    <font>
      <b/>
      <sz val="12"/>
      <name val="Arial CE"/>
      <charset val="238"/>
    </font>
    <font>
      <sz val="9"/>
      <name val="Arial"/>
      <family val="2"/>
      <charset val="238"/>
    </font>
    <font>
      <b/>
      <sz val="14"/>
      <color theme="1"/>
      <name val="Arial"/>
      <family val="2"/>
      <charset val="238"/>
    </font>
    <font>
      <b/>
      <sz val="10"/>
      <color rgb="FFFF0000"/>
      <name val="Arial CE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/>
        <bgColor indexed="64"/>
      </patternFill>
    </fill>
  </fills>
  <borders count="6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1" fillId="0" borderId="0"/>
    <xf numFmtId="0" fontId="1" fillId="0" borderId="0"/>
    <xf numFmtId="43" fontId="10" fillId="0" borderId="0" applyFont="0" applyFill="0" applyBorder="0" applyAlignment="0" applyProtection="0"/>
    <xf numFmtId="0" fontId="10" fillId="0" borderId="0"/>
  </cellStyleXfs>
  <cellXfs count="1067">
    <xf numFmtId="0" fontId="0" fillId="0" borderId="0" xfId="0"/>
    <xf numFmtId="49" fontId="4" fillId="0" borderId="0" xfId="0" applyNumberFormat="1" applyFont="1" applyAlignment="1">
      <alignment horizontal="left"/>
    </xf>
    <xf numFmtId="0" fontId="0" fillId="0" borderId="0" xfId="0" applyAlignment="1">
      <alignment horizontal="right"/>
    </xf>
    <xf numFmtId="0" fontId="8" fillId="2" borderId="2" xfId="0" applyFont="1" applyFill="1" applyBorder="1" applyAlignment="1">
      <alignment horizontal="center"/>
    </xf>
    <xf numFmtId="0" fontId="8" fillId="2" borderId="4" xfId="0" applyFont="1" applyFill="1" applyBorder="1" applyAlignment="1">
      <alignment horizontal="center"/>
    </xf>
    <xf numFmtId="0" fontId="8" fillId="2" borderId="7" xfId="0" applyFont="1" applyFill="1" applyBorder="1" applyAlignment="1">
      <alignment horizontal="center"/>
    </xf>
    <xf numFmtId="0" fontId="8" fillId="2" borderId="1" xfId="0" applyFont="1" applyFill="1" applyBorder="1" applyAlignment="1">
      <alignment horizontal="center"/>
    </xf>
    <xf numFmtId="0" fontId="8" fillId="2" borderId="3" xfId="0" applyFont="1" applyFill="1" applyBorder="1" applyAlignment="1">
      <alignment horizontal="center"/>
    </xf>
    <xf numFmtId="49" fontId="8" fillId="2" borderId="4" xfId="0" applyNumberFormat="1" applyFont="1" applyFill="1" applyBorder="1" applyAlignment="1">
      <alignment horizontal="center"/>
    </xf>
    <xf numFmtId="0" fontId="6" fillId="2" borderId="51" xfId="0" applyFont="1" applyFill="1" applyBorder="1" applyAlignment="1">
      <alignment horizontal="left"/>
    </xf>
    <xf numFmtId="0" fontId="6" fillId="2" borderId="53" xfId="0" applyFont="1" applyFill="1" applyBorder="1" applyAlignment="1">
      <alignment horizontal="center"/>
    </xf>
    <xf numFmtId="0" fontId="8" fillId="2" borderId="27" xfId="0" applyFont="1" applyFill="1" applyBorder="1" applyAlignment="1">
      <alignment horizontal="center"/>
    </xf>
    <xf numFmtId="0" fontId="8" fillId="2" borderId="28" xfId="0" applyFont="1" applyFill="1" applyBorder="1" applyAlignment="1">
      <alignment horizontal="center"/>
    </xf>
    <xf numFmtId="0" fontId="8" fillId="2" borderId="29" xfId="0" applyFont="1" applyFill="1" applyBorder="1" applyAlignment="1">
      <alignment horizontal="center"/>
    </xf>
    <xf numFmtId="0" fontId="8" fillId="2" borderId="30" xfId="0" applyFont="1" applyFill="1" applyBorder="1" applyAlignment="1">
      <alignment horizontal="center"/>
    </xf>
    <xf numFmtId="0" fontId="8" fillId="2" borderId="31" xfId="0" applyFont="1" applyFill="1" applyBorder="1" applyAlignment="1">
      <alignment horizontal="center"/>
    </xf>
    <xf numFmtId="49" fontId="8" fillId="2" borderId="7" xfId="0" applyNumberFormat="1" applyFont="1" applyFill="1" applyBorder="1" applyAlignment="1">
      <alignment horizontal="center"/>
    </xf>
    <xf numFmtId="49" fontId="8" fillId="2" borderId="20" xfId="2" applyNumberFormat="1" applyFont="1" applyFill="1" applyBorder="1" applyAlignment="1" applyProtection="1">
      <alignment horizontal="center"/>
      <protection locked="0"/>
    </xf>
    <xf numFmtId="0" fontId="8" fillId="2" borderId="2" xfId="2" applyFont="1" applyFill="1" applyBorder="1" applyAlignment="1">
      <alignment horizontal="left"/>
    </xf>
    <xf numFmtId="49" fontId="4" fillId="2" borderId="20" xfId="2" applyNumberFormat="1" applyFont="1" applyFill="1" applyBorder="1" applyAlignment="1" applyProtection="1">
      <alignment horizontal="center"/>
      <protection locked="0"/>
    </xf>
    <xf numFmtId="0" fontId="4" fillId="2" borderId="20" xfId="2" applyFont="1" applyFill="1" applyBorder="1" applyAlignment="1">
      <alignment horizontal="left"/>
    </xf>
    <xf numFmtId="49" fontId="8" fillId="2" borderId="13" xfId="2" applyNumberFormat="1" applyFont="1" applyFill="1" applyBorder="1" applyAlignment="1"/>
    <xf numFmtId="0" fontId="8" fillId="2" borderId="13" xfId="2" applyFont="1" applyFill="1" applyBorder="1" applyAlignment="1"/>
    <xf numFmtId="49" fontId="8" fillId="2" borderId="17" xfId="2" applyNumberFormat="1" applyFont="1" applyFill="1" applyBorder="1" applyAlignment="1" applyProtection="1">
      <protection locked="0"/>
    </xf>
    <xf numFmtId="0" fontId="8" fillId="2" borderId="4" xfId="2" applyFont="1" applyFill="1" applyBorder="1" applyAlignment="1"/>
    <xf numFmtId="49" fontId="8" fillId="2" borderId="8" xfId="0" applyNumberFormat="1" applyFont="1" applyFill="1" applyBorder="1" applyAlignment="1">
      <alignment horizontal="center"/>
    </xf>
    <xf numFmtId="49" fontId="8" fillId="2" borderId="11" xfId="0" applyNumberFormat="1" applyFont="1" applyFill="1" applyBorder="1" applyAlignment="1">
      <alignment horizontal="center"/>
    </xf>
    <xf numFmtId="49" fontId="8" fillId="2" borderId="14" xfId="0" applyNumberFormat="1" applyFont="1" applyFill="1" applyBorder="1" applyAlignment="1">
      <alignment horizontal="center"/>
    </xf>
    <xf numFmtId="49" fontId="8" fillId="2" borderId="13" xfId="0" applyNumberFormat="1" applyFont="1" applyFill="1" applyBorder="1" applyAlignment="1">
      <alignment horizontal="left"/>
    </xf>
    <xf numFmtId="0" fontId="6" fillId="2" borderId="33" xfId="0" applyFont="1" applyFill="1" applyBorder="1" applyAlignment="1">
      <alignment horizontal="center"/>
    </xf>
    <xf numFmtId="0" fontId="6" fillId="2" borderId="32" xfId="0" applyFont="1" applyFill="1" applyBorder="1" applyAlignment="1">
      <alignment horizontal="center"/>
    </xf>
    <xf numFmtId="49" fontId="8" fillId="2" borderId="11" xfId="2" applyNumberFormat="1" applyFont="1" applyFill="1" applyBorder="1" applyAlignment="1">
      <alignment horizontal="center"/>
    </xf>
    <xf numFmtId="0" fontId="4" fillId="2" borderId="13" xfId="0" applyFont="1" applyFill="1" applyBorder="1" applyAlignment="1">
      <alignment horizontal="left"/>
    </xf>
    <xf numFmtId="49" fontId="4" fillId="0" borderId="20" xfId="2" applyNumberFormat="1" applyFont="1" applyFill="1" applyBorder="1" applyAlignment="1" applyProtection="1">
      <alignment horizontal="center"/>
      <protection locked="0"/>
    </xf>
    <xf numFmtId="0" fontId="4" fillId="0" borderId="15" xfId="2" applyFont="1" applyFill="1" applyBorder="1" applyAlignment="1">
      <alignment horizontal="left"/>
    </xf>
    <xf numFmtId="49" fontId="4" fillId="0" borderId="4" xfId="2" applyNumberFormat="1" applyFont="1" applyFill="1" applyBorder="1" applyAlignment="1" applyProtection="1">
      <alignment horizontal="center"/>
      <protection locked="0"/>
    </xf>
    <xf numFmtId="0" fontId="4" fillId="0" borderId="13" xfId="2" applyFont="1" applyFill="1" applyBorder="1" applyAlignment="1">
      <alignment horizontal="left"/>
    </xf>
    <xf numFmtId="0" fontId="8" fillId="2" borderId="57" xfId="0" applyFont="1" applyFill="1" applyBorder="1" applyAlignment="1">
      <alignment horizontal="center"/>
    </xf>
    <xf numFmtId="0" fontId="8" fillId="2" borderId="23" xfId="0" applyFont="1" applyFill="1" applyBorder="1" applyAlignment="1">
      <alignment horizontal="center"/>
    </xf>
    <xf numFmtId="49" fontId="4" fillId="0" borderId="20" xfId="3" applyNumberFormat="1" applyFont="1" applyBorder="1" applyAlignment="1">
      <alignment horizontal="center"/>
    </xf>
    <xf numFmtId="49" fontId="4" fillId="2" borderId="20" xfId="2" applyNumberFormat="1" applyFont="1" applyFill="1" applyBorder="1" applyAlignment="1">
      <alignment horizontal="center"/>
    </xf>
    <xf numFmtId="0" fontId="4" fillId="2" borderId="20" xfId="0" applyFont="1" applyFill="1" applyBorder="1" applyAlignment="1">
      <alignment wrapText="1"/>
    </xf>
    <xf numFmtId="0" fontId="4" fillId="2" borderId="20" xfId="0" applyFont="1" applyFill="1" applyBorder="1" applyAlignment="1">
      <alignment horizontal="left" wrapText="1"/>
    </xf>
    <xf numFmtId="14" fontId="8" fillId="2" borderId="4" xfId="0" applyNumberFormat="1" applyFont="1" applyFill="1" applyBorder="1" applyAlignment="1">
      <alignment horizontal="center"/>
    </xf>
    <xf numFmtId="0" fontId="8" fillId="0" borderId="2" xfId="0" applyFont="1" applyFill="1" applyBorder="1" applyAlignment="1">
      <alignment horizontal="center"/>
    </xf>
    <xf numFmtId="0" fontId="8" fillId="0" borderId="4" xfId="0" applyFont="1" applyFill="1" applyBorder="1" applyAlignment="1">
      <alignment horizontal="center"/>
    </xf>
    <xf numFmtId="0" fontId="6" fillId="2" borderId="8" xfId="0" applyFont="1" applyFill="1" applyBorder="1" applyAlignment="1">
      <alignment horizontal="left"/>
    </xf>
    <xf numFmtId="49" fontId="8" fillId="2" borderId="14" xfId="2" applyNumberFormat="1" applyFont="1" applyFill="1" applyBorder="1" applyAlignment="1">
      <alignment horizontal="center"/>
    </xf>
    <xf numFmtId="49" fontId="8" fillId="2" borderId="20" xfId="2" applyNumberFormat="1" applyFont="1" applyFill="1" applyBorder="1" applyAlignment="1">
      <alignment horizontal="left"/>
    </xf>
    <xf numFmtId="0" fontId="5" fillId="2" borderId="20" xfId="2" applyFont="1" applyFill="1" applyBorder="1" applyAlignment="1">
      <alignment horizontal="left"/>
    </xf>
    <xf numFmtId="0" fontId="4" fillId="2" borderId="20" xfId="2" applyFont="1" applyFill="1" applyBorder="1" applyAlignment="1">
      <alignment wrapText="1"/>
    </xf>
    <xf numFmtId="0" fontId="8" fillId="0" borderId="2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14" fontId="8" fillId="0" borderId="7" xfId="0" applyNumberFormat="1" applyFont="1" applyBorder="1" applyAlignment="1">
      <alignment horizontal="center"/>
    </xf>
    <xf numFmtId="0" fontId="8" fillId="2" borderId="6" xfId="0" applyFont="1" applyFill="1" applyBorder="1" applyAlignment="1">
      <alignment horizontal="center"/>
    </xf>
    <xf numFmtId="0" fontId="4" fillId="2" borderId="13" xfId="0" applyFont="1" applyFill="1" applyBorder="1" applyAlignment="1">
      <alignment horizontal="left" wrapText="1"/>
    </xf>
    <xf numFmtId="49" fontId="4" fillId="2" borderId="54" xfId="2" applyNumberFormat="1" applyFont="1" applyFill="1" applyBorder="1" applyAlignment="1">
      <alignment horizontal="center"/>
    </xf>
    <xf numFmtId="4" fontId="8" fillId="2" borderId="20" xfId="0" applyNumberFormat="1" applyFont="1" applyFill="1" applyBorder="1" applyAlignment="1">
      <alignment horizontal="right"/>
    </xf>
    <xf numFmtId="49" fontId="8" fillId="2" borderId="20" xfId="0" applyNumberFormat="1" applyFont="1" applyFill="1" applyBorder="1" applyAlignment="1">
      <alignment horizontal="left"/>
    </xf>
    <xf numFmtId="49" fontId="8" fillId="2" borderId="22" xfId="2" applyNumberFormat="1" applyFont="1" applyFill="1" applyBorder="1" applyAlignment="1" applyProtection="1">
      <alignment horizontal="center"/>
      <protection locked="0"/>
    </xf>
    <xf numFmtId="49" fontId="8" fillId="2" borderId="20" xfId="2" applyNumberFormat="1" applyFont="1" applyFill="1" applyBorder="1" applyAlignment="1" applyProtection="1">
      <protection locked="0"/>
    </xf>
    <xf numFmtId="0" fontId="8" fillId="2" borderId="20" xfId="2" applyFont="1" applyFill="1" applyBorder="1" applyAlignment="1"/>
    <xf numFmtId="0" fontId="4" fillId="2" borderId="20" xfId="2" applyFont="1" applyFill="1" applyBorder="1" applyAlignment="1"/>
    <xf numFmtId="49" fontId="8" fillId="2" borderId="3" xfId="0" applyNumberFormat="1" applyFont="1" applyFill="1" applyBorder="1" applyAlignment="1">
      <alignment horizontal="center"/>
    </xf>
    <xf numFmtId="0" fontId="4" fillId="2" borderId="13" xfId="0" applyFont="1" applyFill="1" applyBorder="1" applyAlignment="1">
      <alignment horizontal="center"/>
    </xf>
    <xf numFmtId="49" fontId="4" fillId="0" borderId="15" xfId="3" applyNumberFormat="1" applyFont="1" applyFill="1" applyBorder="1" applyAlignment="1">
      <alignment horizontal="center"/>
    </xf>
    <xf numFmtId="49" fontId="4" fillId="0" borderId="11" xfId="3" applyNumberFormat="1" applyFont="1" applyFill="1" applyBorder="1" applyAlignment="1">
      <alignment horizontal="center"/>
    </xf>
    <xf numFmtId="49" fontId="4" fillId="0" borderId="20" xfId="3" applyNumberFormat="1" applyFont="1" applyFill="1" applyBorder="1" applyAlignment="1">
      <alignment horizontal="center"/>
    </xf>
    <xf numFmtId="49" fontId="4" fillId="0" borderId="43" xfId="3" applyNumberFormat="1" applyFont="1" applyFill="1" applyBorder="1" applyAlignment="1">
      <alignment horizontal="center"/>
    </xf>
    <xf numFmtId="0" fontId="8" fillId="0" borderId="57" xfId="0" applyFont="1" applyBorder="1" applyAlignment="1">
      <alignment horizontal="center"/>
    </xf>
    <xf numFmtId="0" fontId="8" fillId="0" borderId="23" xfId="0" applyFont="1" applyBorder="1" applyAlignment="1">
      <alignment horizontal="center"/>
    </xf>
    <xf numFmtId="14" fontId="8" fillId="0" borderId="58" xfId="0" applyNumberFormat="1" applyFont="1" applyBorder="1" applyAlignment="1">
      <alignment horizontal="center"/>
    </xf>
    <xf numFmtId="4" fontId="4" fillId="2" borderId="20" xfId="2" applyNumberFormat="1" applyFont="1" applyFill="1" applyBorder="1" applyAlignment="1">
      <alignment horizontal="right"/>
    </xf>
    <xf numFmtId="3" fontId="8" fillId="2" borderId="21" xfId="2" applyNumberFormat="1" applyFont="1" applyFill="1" applyBorder="1" applyAlignment="1">
      <alignment horizontal="right"/>
    </xf>
    <xf numFmtId="164" fontId="5" fillId="2" borderId="20" xfId="0" applyNumberFormat="1" applyFont="1" applyFill="1" applyBorder="1" applyAlignment="1">
      <alignment horizontal="right"/>
    </xf>
    <xf numFmtId="164" fontId="5" fillId="2" borderId="13" xfId="0" applyNumberFormat="1" applyFont="1" applyFill="1" applyBorder="1" applyAlignment="1">
      <alignment horizontal="right"/>
    </xf>
    <xf numFmtId="0" fontId="8" fillId="0" borderId="60" xfId="0" applyFont="1" applyBorder="1" applyAlignment="1">
      <alignment horizontal="center"/>
    </xf>
    <xf numFmtId="0" fontId="8" fillId="0" borderId="61" xfId="0" applyFont="1" applyBorder="1" applyAlignment="1">
      <alignment horizontal="center"/>
    </xf>
    <xf numFmtId="0" fontId="8" fillId="0" borderId="59" xfId="0" applyFont="1" applyBorder="1" applyAlignment="1">
      <alignment horizontal="center"/>
    </xf>
    <xf numFmtId="49" fontId="8" fillId="2" borderId="8" xfId="2" applyNumberFormat="1" applyFont="1" applyFill="1" applyBorder="1" applyAlignment="1">
      <alignment horizontal="center"/>
    </xf>
    <xf numFmtId="3" fontId="8" fillId="2" borderId="20" xfId="2" applyNumberFormat="1" applyFont="1" applyFill="1" applyBorder="1" applyAlignment="1">
      <alignment horizontal="right"/>
    </xf>
    <xf numFmtId="49" fontId="4" fillId="2" borderId="11" xfId="2" applyNumberFormat="1" applyFont="1" applyFill="1" applyBorder="1" applyAlignment="1">
      <alignment horizontal="center"/>
    </xf>
    <xf numFmtId="49" fontId="4" fillId="2" borderId="3" xfId="2" applyNumberFormat="1" applyFont="1" applyFill="1" applyBorder="1" applyAlignment="1">
      <alignment horizontal="center"/>
    </xf>
    <xf numFmtId="49" fontId="6" fillId="2" borderId="24" xfId="2" applyNumberFormat="1" applyFont="1" applyFill="1" applyBorder="1" applyAlignment="1">
      <alignment horizontal="left"/>
    </xf>
    <xf numFmtId="4" fontId="8" fillId="2" borderId="21" xfId="2" applyNumberFormat="1" applyFont="1" applyFill="1" applyBorder="1" applyAlignment="1">
      <alignment horizontal="right"/>
    </xf>
    <xf numFmtId="0" fontId="4" fillId="2" borderId="54" xfId="2" applyFont="1" applyFill="1" applyBorder="1" applyAlignment="1">
      <alignment horizontal="left"/>
    </xf>
    <xf numFmtId="49" fontId="6" fillId="2" borderId="25" xfId="2" applyNumberFormat="1" applyFont="1" applyFill="1" applyBorder="1" applyAlignment="1">
      <alignment horizontal="left"/>
    </xf>
    <xf numFmtId="0" fontId="14" fillId="0" borderId="0" xfId="0" applyFont="1" applyAlignment="1">
      <alignment horizontal="right"/>
    </xf>
    <xf numFmtId="0" fontId="8" fillId="2" borderId="8" xfId="2" applyFont="1" applyFill="1" applyBorder="1" applyAlignment="1">
      <alignment horizontal="left"/>
    </xf>
    <xf numFmtId="0" fontId="8" fillId="2" borderId="9" xfId="2" applyFont="1" applyFill="1" applyBorder="1" applyAlignment="1">
      <alignment horizontal="center"/>
    </xf>
    <xf numFmtId="49" fontId="14" fillId="0" borderId="0" xfId="0" applyNumberFormat="1" applyFont="1" applyAlignment="1">
      <alignment horizontal="center"/>
    </xf>
    <xf numFmtId="0" fontId="15" fillId="0" borderId="0" xfId="0" applyFont="1" applyAlignment="1">
      <alignment wrapText="1"/>
    </xf>
    <xf numFmtId="10" fontId="15" fillId="0" borderId="0" xfId="2" applyNumberFormat="1" applyFont="1" applyAlignment="1">
      <alignment horizontal="center" wrapText="1"/>
    </xf>
    <xf numFmtId="0" fontId="8" fillId="2" borderId="17" xfId="2" applyFont="1" applyFill="1" applyBorder="1" applyAlignment="1">
      <alignment horizontal="left"/>
    </xf>
    <xf numFmtId="0" fontId="8" fillId="2" borderId="15" xfId="2" applyFont="1" applyFill="1" applyBorder="1" applyAlignment="1">
      <alignment horizontal="right"/>
    </xf>
    <xf numFmtId="0" fontId="8" fillId="2" borderId="16" xfId="2" applyFont="1" applyFill="1" applyBorder="1" applyAlignment="1">
      <alignment horizontal="right"/>
    </xf>
    <xf numFmtId="0" fontId="15" fillId="0" borderId="0" xfId="0" applyFont="1" applyAlignment="1">
      <alignment horizontal="center" wrapText="1"/>
    </xf>
    <xf numFmtId="0" fontId="6" fillId="2" borderId="16" xfId="0" applyFont="1" applyFill="1" applyBorder="1" applyAlignment="1">
      <alignment horizontal="center"/>
    </xf>
    <xf numFmtId="49" fontId="4" fillId="0" borderId="20" xfId="2" applyNumberFormat="1" applyFont="1" applyFill="1" applyBorder="1" applyAlignment="1">
      <alignment horizontal="center"/>
    </xf>
    <xf numFmtId="0" fontId="6" fillId="0" borderId="33" xfId="0" applyFont="1" applyFill="1" applyBorder="1" applyAlignment="1">
      <alignment horizontal="center"/>
    </xf>
    <xf numFmtId="14" fontId="6" fillId="0" borderId="33" xfId="0" applyNumberFormat="1" applyFont="1" applyFill="1" applyBorder="1" applyAlignment="1">
      <alignment horizontal="center"/>
    </xf>
    <xf numFmtId="0" fontId="6" fillId="0" borderId="52" xfId="0" applyFont="1" applyFill="1" applyBorder="1" applyAlignment="1">
      <alignment horizontal="center"/>
    </xf>
    <xf numFmtId="0" fontId="6" fillId="0" borderId="56" xfId="0" applyFont="1" applyFill="1" applyBorder="1" applyAlignment="1">
      <alignment horizontal="center"/>
    </xf>
    <xf numFmtId="0" fontId="8" fillId="2" borderId="1" xfId="1" applyFont="1" applyFill="1" applyBorder="1" applyAlignment="1">
      <alignment horizontal="center"/>
    </xf>
    <xf numFmtId="0" fontId="8" fillId="2" borderId="28" xfId="1" applyFont="1" applyFill="1" applyBorder="1" applyAlignment="1">
      <alignment horizontal="center"/>
    </xf>
    <xf numFmtId="0" fontId="8" fillId="2" borderId="2" xfId="1" applyFont="1" applyFill="1" applyBorder="1" applyAlignment="1">
      <alignment horizontal="center"/>
    </xf>
    <xf numFmtId="0" fontId="8" fillId="0" borderId="62" xfId="0" applyFont="1" applyBorder="1" applyAlignment="1">
      <alignment horizontal="center"/>
    </xf>
    <xf numFmtId="0" fontId="8" fillId="2" borderId="3" xfId="1" applyFont="1" applyFill="1" applyBorder="1" applyAlignment="1">
      <alignment horizontal="center"/>
    </xf>
    <xf numFmtId="0" fontId="8" fillId="2" borderId="0" xfId="1" applyFont="1" applyFill="1" applyBorder="1" applyAlignment="1">
      <alignment horizontal="center"/>
    </xf>
    <xf numFmtId="0" fontId="8" fillId="2" borderId="4" xfId="1" applyFont="1" applyFill="1" applyBorder="1" applyAlignment="1">
      <alignment horizontal="center"/>
    </xf>
    <xf numFmtId="49" fontId="8" fillId="2" borderId="4" xfId="1" applyNumberFormat="1" applyFont="1" applyFill="1" applyBorder="1" applyAlignment="1">
      <alignment horizontal="center"/>
    </xf>
    <xf numFmtId="0" fontId="8" fillId="0" borderId="5" xfId="0" applyFont="1" applyBorder="1" applyAlignment="1">
      <alignment horizontal="center"/>
    </xf>
    <xf numFmtId="0" fontId="8" fillId="2" borderId="6" xfId="1" applyFont="1" applyFill="1" applyBorder="1" applyAlignment="1">
      <alignment horizontal="center"/>
    </xf>
    <xf numFmtId="0" fontId="8" fillId="2" borderId="31" xfId="1" applyFont="1" applyFill="1" applyBorder="1" applyAlignment="1">
      <alignment horizontal="center"/>
    </xf>
    <xf numFmtId="0" fontId="8" fillId="2" borderId="7" xfId="1" applyFont="1" applyFill="1" applyBorder="1" applyAlignment="1">
      <alignment horizontal="center"/>
    </xf>
    <xf numFmtId="49" fontId="8" fillId="2" borderId="7" xfId="1" applyNumberFormat="1" applyFont="1" applyFill="1" applyBorder="1" applyAlignment="1">
      <alignment horizontal="center"/>
    </xf>
    <xf numFmtId="0" fontId="8" fillId="0" borderId="63" xfId="0" applyFont="1" applyBorder="1" applyAlignment="1">
      <alignment horizontal="center"/>
    </xf>
    <xf numFmtId="49" fontId="8" fillId="2" borderId="22" xfId="2" applyNumberFormat="1" applyFont="1" applyFill="1" applyBorder="1" applyAlignment="1">
      <alignment horizontal="center"/>
    </xf>
    <xf numFmtId="0" fontId="8" fillId="2" borderId="12" xfId="2" applyFont="1" applyFill="1" applyBorder="1" applyAlignment="1">
      <alignment horizontal="left"/>
    </xf>
    <xf numFmtId="49" fontId="4" fillId="3" borderId="11" xfId="2" applyNumberFormat="1" applyFont="1" applyFill="1" applyBorder="1" applyAlignment="1">
      <alignment horizontal="center"/>
    </xf>
    <xf numFmtId="49" fontId="4" fillId="3" borderId="19" xfId="2" applyNumberFormat="1" applyFont="1" applyFill="1" applyBorder="1" applyAlignment="1">
      <alignment horizontal="center"/>
    </xf>
    <xf numFmtId="0" fontId="4" fillId="3" borderId="21" xfId="2" applyFont="1" applyFill="1" applyBorder="1" applyAlignment="1">
      <alignment horizontal="left" shrinkToFit="1"/>
    </xf>
    <xf numFmtId="49" fontId="4" fillId="2" borderId="19" xfId="2" applyNumberFormat="1" applyFont="1" applyFill="1" applyBorder="1" applyAlignment="1">
      <alignment horizontal="center"/>
    </xf>
    <xf numFmtId="0" fontId="5" fillId="2" borderId="21" xfId="2" applyFont="1" applyFill="1" applyBorder="1" applyAlignment="1">
      <alignment horizontal="left"/>
    </xf>
    <xf numFmtId="0" fontId="4" fillId="3" borderId="21" xfId="2" applyFont="1" applyFill="1" applyBorder="1" applyAlignment="1">
      <alignment horizontal="left"/>
    </xf>
    <xf numFmtId="49" fontId="4" fillId="3" borderId="21" xfId="2" applyNumberFormat="1" applyFont="1" applyFill="1" applyBorder="1" applyAlignment="1">
      <alignment horizontal="left"/>
    </xf>
    <xf numFmtId="49" fontId="4" fillId="2" borderId="46" xfId="2" applyNumberFormat="1" applyFont="1" applyFill="1" applyBorder="1" applyAlignment="1">
      <alignment horizontal="center"/>
    </xf>
    <xf numFmtId="49" fontId="4" fillId="2" borderId="42" xfId="2" applyNumberFormat="1" applyFont="1" applyFill="1" applyBorder="1" applyAlignment="1">
      <alignment horizontal="center"/>
    </xf>
    <xf numFmtId="0" fontId="5" fillId="2" borderId="40" xfId="2" applyFont="1" applyFill="1" applyBorder="1" applyAlignment="1">
      <alignment horizontal="left"/>
    </xf>
    <xf numFmtId="49" fontId="4" fillId="2" borderId="0" xfId="2" applyNumberFormat="1" applyFont="1" applyFill="1" applyAlignment="1">
      <alignment horizontal="center"/>
    </xf>
    <xf numFmtId="0" fontId="5" fillId="2" borderId="0" xfId="2" applyFont="1" applyFill="1" applyAlignment="1">
      <alignment horizontal="left"/>
    </xf>
    <xf numFmtId="0" fontId="8" fillId="2" borderId="38" xfId="1" applyFont="1" applyFill="1" applyBorder="1" applyAlignment="1">
      <alignment horizontal="center"/>
    </xf>
    <xf numFmtId="0" fontId="8" fillId="2" borderId="10" xfId="2" applyFont="1" applyFill="1" applyBorder="1" applyAlignment="1" applyProtection="1">
      <alignment horizontal="center"/>
      <protection locked="0"/>
    </xf>
    <xf numFmtId="0" fontId="4" fillId="3" borderId="11" xfId="2" applyFont="1" applyFill="1" applyBorder="1" applyAlignment="1">
      <alignment horizontal="center"/>
    </xf>
    <xf numFmtId="49" fontId="4" fillId="3" borderId="19" xfId="2" applyNumberFormat="1" applyFont="1" applyFill="1" applyBorder="1" applyAlignment="1" applyProtection="1">
      <alignment horizontal="center"/>
      <protection locked="0"/>
    </xf>
    <xf numFmtId="0" fontId="4" fillId="3" borderId="20" xfId="2" applyFont="1" applyFill="1" applyBorder="1" applyAlignment="1">
      <alignment horizontal="left"/>
    </xf>
    <xf numFmtId="3" fontId="4" fillId="3" borderId="20" xfId="0" applyNumberFormat="1" applyFont="1" applyFill="1" applyBorder="1" applyAlignment="1">
      <alignment horizontal="right"/>
    </xf>
    <xf numFmtId="164" fontId="4" fillId="3" borderId="20" xfId="0" applyNumberFormat="1" applyFont="1" applyFill="1" applyBorder="1" applyAlignment="1">
      <alignment horizontal="right"/>
    </xf>
    <xf numFmtId="0" fontId="4" fillId="2" borderId="11" xfId="2" applyFont="1" applyFill="1" applyBorder="1" applyAlignment="1">
      <alignment horizontal="center"/>
    </xf>
    <xf numFmtId="49" fontId="4" fillId="2" borderId="19" xfId="2" applyNumberFormat="1" applyFont="1" applyFill="1" applyBorder="1" applyAlignment="1" applyProtection="1">
      <alignment horizontal="center"/>
      <protection locked="0"/>
    </xf>
    <xf numFmtId="3" fontId="5" fillId="2" borderId="20" xfId="0" applyNumberFormat="1" applyFont="1" applyFill="1" applyBorder="1" applyAlignment="1">
      <alignment horizontal="right"/>
    </xf>
    <xf numFmtId="0" fontId="5" fillId="2" borderId="11" xfId="2" applyFont="1" applyFill="1" applyBorder="1" applyAlignment="1">
      <alignment horizontal="center"/>
    </xf>
    <xf numFmtId="49" fontId="5" fillId="2" borderId="19" xfId="2" applyNumberFormat="1" applyFont="1" applyFill="1" applyBorder="1" applyAlignment="1" applyProtection="1">
      <alignment horizontal="center"/>
      <protection locked="0"/>
    </xf>
    <xf numFmtId="3" fontId="4" fillId="3" borderId="15" xfId="0" applyNumberFormat="1" applyFont="1" applyFill="1" applyBorder="1" applyAlignment="1">
      <alignment horizontal="right"/>
    </xf>
    <xf numFmtId="164" fontId="4" fillId="3" borderId="15" xfId="0" applyNumberFormat="1" applyFont="1" applyFill="1" applyBorder="1" applyAlignment="1">
      <alignment horizontal="right"/>
    </xf>
    <xf numFmtId="0" fontId="4" fillId="2" borderId="14" xfId="2" applyFont="1" applyFill="1" applyBorder="1" applyAlignment="1">
      <alignment horizontal="center"/>
    </xf>
    <xf numFmtId="49" fontId="4" fillId="2" borderId="22" xfId="2" applyNumberFormat="1" applyFont="1" applyFill="1" applyBorder="1" applyAlignment="1" applyProtection="1">
      <alignment horizontal="center"/>
      <protection locked="0"/>
    </xf>
    <xf numFmtId="0" fontId="5" fillId="2" borderId="12" xfId="2" applyFont="1" applyFill="1" applyBorder="1" applyAlignment="1">
      <alignment horizontal="left"/>
    </xf>
    <xf numFmtId="3" fontId="5" fillId="2" borderId="13" xfId="0" applyNumberFormat="1" applyFont="1" applyFill="1" applyBorder="1" applyAlignment="1">
      <alignment horizontal="right"/>
    </xf>
    <xf numFmtId="0" fontId="4" fillId="2" borderId="46" xfId="2" applyFont="1" applyFill="1" applyBorder="1" applyAlignment="1">
      <alignment horizontal="center"/>
    </xf>
    <xf numFmtId="49" fontId="4" fillId="2" borderId="42" xfId="2" applyNumberFormat="1" applyFont="1" applyFill="1" applyBorder="1" applyAlignment="1" applyProtection="1">
      <alignment horizontal="center"/>
      <protection locked="0"/>
    </xf>
    <xf numFmtId="3" fontId="5" fillId="2" borderId="39" xfId="0" applyNumberFormat="1" applyFont="1" applyFill="1" applyBorder="1" applyAlignment="1">
      <alignment horizontal="right"/>
    </xf>
    <xf numFmtId="0" fontId="4" fillId="2" borderId="0" xfId="2" applyFont="1" applyFill="1" applyBorder="1" applyAlignment="1">
      <alignment horizontal="center"/>
    </xf>
    <xf numFmtId="49" fontId="4" fillId="2" borderId="0" xfId="2" applyNumberFormat="1" applyFont="1" applyFill="1" applyBorder="1" applyAlignment="1" applyProtection="1">
      <alignment horizontal="center"/>
      <protection locked="0"/>
    </xf>
    <xf numFmtId="0" fontId="5" fillId="2" borderId="0" xfId="2" applyFont="1" applyFill="1" applyBorder="1" applyAlignment="1">
      <alignment horizontal="left"/>
    </xf>
    <xf numFmtId="3" fontId="5" fillId="2" borderId="0" xfId="0" applyNumberFormat="1" applyFont="1" applyFill="1" applyBorder="1" applyAlignment="1">
      <alignment horizontal="right"/>
    </xf>
    <xf numFmtId="3" fontId="5" fillId="0" borderId="0" xfId="0" applyNumberFormat="1" applyFont="1" applyFill="1" applyAlignment="1">
      <alignment horizontal="right"/>
    </xf>
    <xf numFmtId="164" fontId="5" fillId="2" borderId="39" xfId="0" applyNumberFormat="1" applyFont="1" applyFill="1" applyBorder="1" applyAlignment="1">
      <alignment horizontal="right"/>
    </xf>
    <xf numFmtId="0" fontId="8" fillId="2" borderId="11" xfId="2" applyFont="1" applyFill="1" applyBorder="1" applyAlignment="1">
      <alignment horizontal="center"/>
    </xf>
    <xf numFmtId="49" fontId="8" fillId="2" borderId="3" xfId="2" applyNumberFormat="1" applyFont="1" applyFill="1" applyBorder="1" applyAlignment="1">
      <alignment horizontal="center"/>
    </xf>
    <xf numFmtId="49" fontId="8" fillId="2" borderId="43" xfId="2" applyNumberFormat="1" applyFont="1" applyFill="1" applyBorder="1" applyAlignment="1">
      <alignment horizontal="center"/>
    </xf>
    <xf numFmtId="49" fontId="8" fillId="2" borderId="19" xfId="0" applyNumberFormat="1" applyFont="1" applyFill="1" applyBorder="1" applyAlignment="1">
      <alignment horizontal="left"/>
    </xf>
    <xf numFmtId="0" fontId="4" fillId="2" borderId="20" xfId="3" applyFont="1" applyFill="1" applyBorder="1" applyAlignment="1">
      <alignment horizontal="left" wrapText="1"/>
    </xf>
    <xf numFmtId="4" fontId="8" fillId="2" borderId="12" xfId="2" applyNumberFormat="1" applyFont="1" applyFill="1" applyBorder="1" applyAlignment="1">
      <alignment horizontal="right"/>
    </xf>
    <xf numFmtId="4" fontId="4" fillId="2" borderId="12" xfId="2" applyNumberFormat="1" applyFont="1" applyFill="1" applyBorder="1" applyAlignment="1">
      <alignment horizontal="right"/>
    </xf>
    <xf numFmtId="0" fontId="15" fillId="2" borderId="0" xfId="0" applyFont="1" applyFill="1" applyAlignment="1">
      <alignment wrapText="1"/>
    </xf>
    <xf numFmtId="10" fontId="8" fillId="0" borderId="0" xfId="2" applyNumberFormat="1" applyFont="1" applyFill="1" applyAlignment="1">
      <alignment horizontal="center" wrapText="1"/>
    </xf>
    <xf numFmtId="10" fontId="8" fillId="0" borderId="0" xfId="2" applyNumberFormat="1" applyFont="1" applyAlignment="1">
      <alignment horizontal="center" wrapText="1"/>
    </xf>
    <xf numFmtId="49" fontId="4" fillId="2" borderId="22" xfId="0" applyNumberFormat="1" applyFont="1" applyFill="1" applyBorder="1" applyAlignment="1">
      <alignment horizontal="left"/>
    </xf>
    <xf numFmtId="0" fontId="6" fillId="2" borderId="8" xfId="0" applyFont="1" applyFill="1" applyBorder="1" applyAlignment="1">
      <alignment horizontal="center"/>
    </xf>
    <xf numFmtId="0" fontId="6" fillId="2" borderId="15" xfId="0" applyFont="1" applyFill="1" applyBorder="1" applyAlignment="1">
      <alignment horizontal="center"/>
    </xf>
    <xf numFmtId="4" fontId="4" fillId="2" borderId="21" xfId="2" applyNumberFormat="1" applyFont="1" applyFill="1" applyBorder="1" applyAlignment="1">
      <alignment horizontal="right"/>
    </xf>
    <xf numFmtId="0" fontId="4" fillId="2" borderId="19" xfId="0" applyFont="1" applyFill="1" applyBorder="1" applyAlignment="1">
      <alignment horizontal="left"/>
    </xf>
    <xf numFmtId="49" fontId="4" fillId="2" borderId="20" xfId="0" applyNumberFormat="1" applyFont="1" applyFill="1" applyBorder="1" applyAlignment="1">
      <alignment horizontal="center"/>
    </xf>
    <xf numFmtId="0" fontId="4" fillId="2" borderId="19" xfId="0" applyFont="1" applyFill="1" applyBorder="1" applyAlignment="1">
      <alignment horizontal="center"/>
    </xf>
    <xf numFmtId="0" fontId="4" fillId="2" borderId="19" xfId="0" applyFont="1" applyFill="1" applyBorder="1" applyAlignment="1">
      <alignment horizontal="left" wrapText="1"/>
    </xf>
    <xf numFmtId="0" fontId="8" fillId="0" borderId="0" xfId="0" applyFont="1" applyAlignment="1">
      <alignment horizontal="right" wrapText="1"/>
    </xf>
    <xf numFmtId="10" fontId="8" fillId="0" borderId="0" xfId="2" applyNumberFormat="1" applyFont="1" applyAlignment="1">
      <alignment horizontal="right" wrapText="1"/>
    </xf>
    <xf numFmtId="3" fontId="6" fillId="2" borderId="37" xfId="2" applyNumberFormat="1" applyFont="1" applyFill="1" applyBorder="1" applyAlignment="1">
      <alignment horizontal="right"/>
    </xf>
    <xf numFmtId="0" fontId="6" fillId="0" borderId="0" xfId="1" applyFont="1" applyAlignment="1">
      <alignment horizontal="left"/>
    </xf>
    <xf numFmtId="0" fontId="8" fillId="2" borderId="30" xfId="1" applyFont="1" applyFill="1" applyBorder="1" applyAlignment="1">
      <alignment horizontal="center"/>
    </xf>
    <xf numFmtId="0" fontId="6" fillId="2" borderId="8" xfId="1" applyFont="1" applyFill="1" applyBorder="1" applyAlignment="1">
      <alignment horizontal="left"/>
    </xf>
    <xf numFmtId="0" fontId="4" fillId="2" borderId="20" xfId="2" applyFont="1" applyFill="1" applyBorder="1" applyAlignment="1">
      <alignment horizontal="center"/>
    </xf>
    <xf numFmtId="49" fontId="4" fillId="2" borderId="20" xfId="2" applyNumberFormat="1" applyFont="1" applyFill="1" applyBorder="1" applyAlignment="1">
      <alignment horizontal="left"/>
    </xf>
    <xf numFmtId="0" fontId="4" fillId="2" borderId="20" xfId="2" applyFont="1" applyFill="1" applyBorder="1" applyAlignment="1">
      <alignment horizontal="left" wrapText="1"/>
    </xf>
    <xf numFmtId="0" fontId="8" fillId="0" borderId="0" xfId="1" applyFont="1" applyAlignment="1">
      <alignment horizontal="left"/>
    </xf>
    <xf numFmtId="0" fontId="8" fillId="0" borderId="0" xfId="0" applyFont="1" applyAlignment="1">
      <alignment horizontal="center" wrapText="1"/>
    </xf>
    <xf numFmtId="0" fontId="6" fillId="2" borderId="44" xfId="0" applyFont="1" applyFill="1" applyBorder="1" applyAlignment="1">
      <alignment horizontal="left"/>
    </xf>
    <xf numFmtId="0" fontId="6" fillId="2" borderId="10" xfId="0" applyFont="1" applyFill="1" applyBorder="1" applyAlignment="1">
      <alignment horizontal="center"/>
    </xf>
    <xf numFmtId="4" fontId="8" fillId="2" borderId="15" xfId="2" applyNumberFormat="1" applyFont="1" applyFill="1" applyBorder="1" applyAlignment="1">
      <alignment horizontal="right"/>
    </xf>
    <xf numFmtId="4" fontId="4" fillId="2" borderId="16" xfId="2" applyNumberFormat="1" applyFont="1" applyFill="1" applyBorder="1" applyAlignment="1">
      <alignment horizontal="right"/>
    </xf>
    <xf numFmtId="4" fontId="14" fillId="0" borderId="0" xfId="0" applyNumberFormat="1" applyFont="1" applyAlignment="1">
      <alignment horizontal="right"/>
    </xf>
    <xf numFmtId="0" fontId="8" fillId="2" borderId="20" xfId="0" applyFont="1" applyFill="1" applyBorder="1" applyAlignment="1">
      <alignment horizontal="left"/>
    </xf>
    <xf numFmtId="49" fontId="5" fillId="2" borderId="11" xfId="0" applyNumberFormat="1" applyFont="1" applyFill="1" applyBorder="1" applyAlignment="1">
      <alignment horizontal="center"/>
    </xf>
    <xf numFmtId="49" fontId="5" fillId="2" borderId="19" xfId="0" applyNumberFormat="1" applyFont="1" applyFill="1" applyBorder="1" applyAlignment="1">
      <alignment horizontal="left"/>
    </xf>
    <xf numFmtId="49" fontId="5" fillId="2" borderId="19" xfId="0" applyNumberFormat="1" applyFont="1" applyFill="1" applyBorder="1" applyAlignment="1">
      <alignment horizontal="center"/>
    </xf>
    <xf numFmtId="0" fontId="5" fillId="2" borderId="20" xfId="0" applyFont="1" applyFill="1" applyBorder="1" applyAlignment="1">
      <alignment horizontal="left"/>
    </xf>
    <xf numFmtId="49" fontId="5" fillId="2" borderId="20" xfId="0" applyNumberFormat="1" applyFont="1" applyFill="1" applyBorder="1" applyAlignment="1">
      <alignment horizontal="left"/>
    </xf>
    <xf numFmtId="0" fontId="5" fillId="2" borderId="21" xfId="0" applyFont="1" applyFill="1" applyBorder="1" applyAlignment="1">
      <alignment horizontal="left"/>
    </xf>
    <xf numFmtId="0" fontId="5" fillId="2" borderId="19" xfId="0" applyFont="1" applyFill="1" applyBorder="1" applyAlignment="1">
      <alignment horizontal="center"/>
    </xf>
    <xf numFmtId="49" fontId="5" fillId="2" borderId="13" xfId="0" applyNumberFormat="1" applyFont="1" applyFill="1" applyBorder="1" applyAlignment="1">
      <alignment horizontal="left"/>
    </xf>
    <xf numFmtId="49" fontId="5" fillId="2" borderId="22" xfId="0" applyNumberFormat="1" applyFont="1" applyFill="1" applyBorder="1" applyAlignment="1">
      <alignment horizontal="left"/>
    </xf>
    <xf numFmtId="4" fontId="4" fillId="0" borderId="21" xfId="2" applyNumberFormat="1" applyFont="1" applyFill="1" applyBorder="1" applyAlignment="1">
      <alignment horizontal="right"/>
    </xf>
    <xf numFmtId="49" fontId="5" fillId="2" borderId="22" xfId="0" applyNumberFormat="1" applyFont="1" applyFill="1" applyBorder="1" applyAlignment="1">
      <alignment horizontal="center"/>
    </xf>
    <xf numFmtId="0" fontId="5" fillId="2" borderId="13" xfId="0" applyFont="1" applyFill="1" applyBorder="1" applyAlignment="1">
      <alignment horizontal="left"/>
    </xf>
    <xf numFmtId="49" fontId="4" fillId="2" borderId="15" xfId="2" applyNumberFormat="1" applyFont="1" applyFill="1" applyBorder="1" applyAlignment="1">
      <alignment horizontal="left"/>
    </xf>
    <xf numFmtId="0" fontId="4" fillId="2" borderId="10" xfId="2" applyFont="1" applyFill="1" applyBorder="1" applyAlignment="1">
      <alignment horizontal="left"/>
    </xf>
    <xf numFmtId="49" fontId="4" fillId="2" borderId="16" xfId="2" applyNumberFormat="1" applyFont="1" applyFill="1" applyBorder="1" applyAlignment="1">
      <alignment horizontal="left"/>
    </xf>
    <xf numFmtId="4" fontId="4" fillId="2" borderId="18" xfId="2" applyNumberFormat="1" applyFont="1" applyFill="1" applyBorder="1" applyAlignment="1">
      <alignment horizontal="right"/>
    </xf>
    <xf numFmtId="49" fontId="18" fillId="2" borderId="20" xfId="2" applyNumberFormat="1" applyFont="1" applyFill="1" applyBorder="1" applyAlignment="1">
      <alignment horizontal="center"/>
    </xf>
    <xf numFmtId="49" fontId="4" fillId="2" borderId="13" xfId="2" applyNumberFormat="1" applyFont="1" applyFill="1" applyBorder="1" applyAlignment="1">
      <alignment horizontal="left"/>
    </xf>
    <xf numFmtId="4" fontId="4" fillId="2" borderId="13" xfId="0" applyNumberFormat="1" applyFont="1" applyFill="1" applyBorder="1" applyAlignment="1">
      <alignment horizontal="right"/>
    </xf>
    <xf numFmtId="4" fontId="4" fillId="0" borderId="12" xfId="2" applyNumberFormat="1" applyFont="1" applyFill="1" applyBorder="1" applyAlignment="1">
      <alignment horizontal="right"/>
    </xf>
    <xf numFmtId="3" fontId="4" fillId="2" borderId="21" xfId="2" applyNumberFormat="1" applyFont="1" applyFill="1" applyBorder="1" applyAlignment="1">
      <alignment horizontal="right"/>
    </xf>
    <xf numFmtId="49" fontId="4" fillId="2" borderId="10" xfId="2" applyNumberFormat="1" applyFont="1" applyFill="1" applyBorder="1" applyAlignment="1">
      <alignment horizontal="center"/>
    </xf>
    <xf numFmtId="3" fontId="4" fillId="2" borderId="12" xfId="2" applyNumberFormat="1" applyFont="1" applyFill="1" applyBorder="1" applyAlignment="1">
      <alignment horizontal="right"/>
    </xf>
    <xf numFmtId="0" fontId="4" fillId="0" borderId="0" xfId="2" applyFont="1" applyFill="1" applyAlignment="1">
      <alignment horizontal="center"/>
    </xf>
    <xf numFmtId="49" fontId="4" fillId="0" borderId="0" xfId="2" applyNumberFormat="1" applyFont="1" applyFill="1" applyAlignment="1" applyProtection="1">
      <alignment horizontal="center"/>
      <protection locked="0"/>
    </xf>
    <xf numFmtId="0" fontId="5" fillId="0" borderId="0" xfId="2" applyFont="1" applyFill="1" applyAlignment="1">
      <alignment horizontal="left"/>
    </xf>
    <xf numFmtId="2" fontId="4" fillId="2" borderId="0" xfId="0" applyNumberFormat="1" applyFont="1" applyFill="1" applyBorder="1" applyAlignment="1">
      <alignment horizontal="right"/>
    </xf>
    <xf numFmtId="2" fontId="4" fillId="0" borderId="0" xfId="0" applyNumberFormat="1" applyFont="1" applyFill="1" applyAlignment="1">
      <alignment horizontal="right"/>
    </xf>
    <xf numFmtId="4" fontId="4" fillId="2" borderId="40" xfId="2" applyNumberFormat="1" applyFont="1" applyFill="1" applyBorder="1" applyAlignment="1">
      <alignment horizontal="right"/>
    </xf>
    <xf numFmtId="49" fontId="4" fillId="0" borderId="0" xfId="3" applyNumberFormat="1" applyFont="1" applyBorder="1" applyAlignment="1">
      <alignment horizontal="center"/>
    </xf>
    <xf numFmtId="4" fontId="4" fillId="2" borderId="0" xfId="2" applyNumberFormat="1" applyFont="1" applyFill="1" applyBorder="1" applyAlignment="1">
      <alignment horizontal="right"/>
    </xf>
    <xf numFmtId="0" fontId="13" fillId="0" borderId="20" xfId="0" applyFont="1" applyFill="1" applyBorder="1" applyAlignment="1">
      <alignment wrapText="1"/>
    </xf>
    <xf numFmtId="0" fontId="4" fillId="0" borderId="20" xfId="0" applyFont="1" applyFill="1" applyBorder="1" applyAlignment="1">
      <alignment wrapText="1"/>
    </xf>
    <xf numFmtId="0" fontId="5" fillId="2" borderId="39" xfId="0" applyFont="1" applyFill="1" applyBorder="1" applyAlignment="1">
      <alignment horizontal="center"/>
    </xf>
    <xf numFmtId="0" fontId="5" fillId="2" borderId="40" xfId="0" applyFont="1" applyFill="1" applyBorder="1" applyAlignment="1">
      <alignment horizontal="left"/>
    </xf>
    <xf numFmtId="49" fontId="4" fillId="0" borderId="13" xfId="3" applyNumberFormat="1" applyFont="1" applyFill="1" applyBorder="1" applyAlignment="1">
      <alignment horizontal="center"/>
    </xf>
    <xf numFmtId="0" fontId="17" fillId="0" borderId="0" xfId="0" applyFont="1" applyFill="1" applyAlignment="1"/>
    <xf numFmtId="0" fontId="14" fillId="0" borderId="0" xfId="0" applyFont="1" applyFill="1" applyAlignment="1"/>
    <xf numFmtId="4" fontId="4" fillId="0" borderId="12" xfId="2" applyNumberFormat="1" applyFont="1" applyFill="1" applyBorder="1" applyAlignment="1"/>
    <xf numFmtId="49" fontId="4" fillId="0" borderId="14" xfId="3" applyNumberFormat="1" applyFont="1" applyFill="1" applyBorder="1" applyAlignment="1">
      <alignment horizontal="center"/>
    </xf>
    <xf numFmtId="0" fontId="6" fillId="0" borderId="0" xfId="1" applyFont="1" applyFill="1" applyAlignment="1"/>
    <xf numFmtId="0" fontId="16" fillId="0" borderId="0" xfId="1" applyFont="1" applyFill="1" applyAlignment="1"/>
    <xf numFmtId="0" fontId="17" fillId="2" borderId="0" xfId="0" applyFont="1" applyFill="1" applyAlignment="1"/>
    <xf numFmtId="0" fontId="4" fillId="0" borderId="0" xfId="1" applyFont="1" applyFill="1" applyAlignment="1"/>
    <xf numFmtId="0" fontId="8" fillId="0" borderId="0" xfId="1" applyFont="1" applyFill="1" applyAlignment="1"/>
    <xf numFmtId="0" fontId="14" fillId="2" borderId="0" xfId="0" applyFont="1" applyFill="1" applyAlignment="1"/>
    <xf numFmtId="0" fontId="8" fillId="2" borderId="2" xfId="1" applyFont="1" applyFill="1" applyBorder="1" applyAlignment="1"/>
    <xf numFmtId="0" fontId="8" fillId="2" borderId="16" xfId="2" applyFont="1" applyFill="1" applyBorder="1" applyAlignment="1"/>
    <xf numFmtId="49" fontId="8" fillId="2" borderId="20" xfId="2" applyNumberFormat="1" applyFont="1" applyFill="1" applyBorder="1" applyAlignment="1"/>
    <xf numFmtId="4" fontId="8" fillId="2" borderId="21" xfId="2" applyNumberFormat="1" applyFont="1" applyFill="1" applyBorder="1" applyAlignment="1"/>
    <xf numFmtId="2" fontId="8" fillId="2" borderId="49" xfId="0" applyNumberFormat="1" applyFont="1" applyFill="1" applyBorder="1" applyAlignment="1"/>
    <xf numFmtId="3" fontId="14" fillId="0" borderId="0" xfId="0" applyNumberFormat="1" applyFont="1" applyFill="1" applyAlignment="1"/>
    <xf numFmtId="0" fontId="4" fillId="3" borderId="20" xfId="2" applyFont="1" applyFill="1" applyBorder="1" applyAlignment="1"/>
    <xf numFmtId="3" fontId="4" fillId="3" borderId="15" xfId="2" applyNumberFormat="1" applyFont="1" applyFill="1" applyBorder="1" applyAlignment="1"/>
    <xf numFmtId="164" fontId="4" fillId="3" borderId="15" xfId="2" applyNumberFormat="1" applyFont="1" applyFill="1" applyBorder="1" applyAlignment="1"/>
    <xf numFmtId="4" fontId="4" fillId="3" borderId="9" xfId="2" applyNumberFormat="1" applyFont="1" applyFill="1" applyBorder="1" applyAlignment="1"/>
    <xf numFmtId="2" fontId="4" fillId="3" borderId="49" xfId="0" applyNumberFormat="1" applyFont="1" applyFill="1" applyBorder="1" applyAlignment="1"/>
    <xf numFmtId="3" fontId="5" fillId="2" borderId="20" xfId="2" applyNumberFormat="1" applyFont="1" applyFill="1" applyBorder="1" applyAlignment="1"/>
    <xf numFmtId="164" fontId="5" fillId="2" borderId="20" xfId="2" applyNumberFormat="1" applyFont="1" applyFill="1" applyBorder="1" applyAlignment="1"/>
    <xf numFmtId="4" fontId="4" fillId="2" borderId="21" xfId="2" applyNumberFormat="1" applyFont="1" applyFill="1" applyBorder="1" applyAlignment="1"/>
    <xf numFmtId="2" fontId="4" fillId="2" borderId="49" xfId="0" applyNumberFormat="1" applyFont="1" applyFill="1" applyBorder="1" applyAlignment="1"/>
    <xf numFmtId="3" fontId="4" fillId="3" borderId="20" xfId="2" applyNumberFormat="1" applyFont="1" applyFill="1" applyBorder="1" applyAlignment="1"/>
    <xf numFmtId="164" fontId="4" fillId="3" borderId="20" xfId="2" applyNumberFormat="1" applyFont="1" applyFill="1" applyBorder="1" applyAlignment="1"/>
    <xf numFmtId="0" fontId="4" fillId="2" borderId="39" xfId="2" applyFont="1" applyFill="1" applyBorder="1" applyAlignment="1"/>
    <xf numFmtId="3" fontId="5" fillId="2" borderId="39" xfId="2" applyNumberFormat="1" applyFont="1" applyFill="1" applyBorder="1" applyAlignment="1"/>
    <xf numFmtId="164" fontId="5" fillId="2" borderId="39" xfId="2" applyNumberFormat="1" applyFont="1" applyFill="1" applyBorder="1" applyAlignment="1"/>
    <xf numFmtId="4" fontId="4" fillId="2" borderId="39" xfId="2" applyNumberFormat="1" applyFont="1" applyFill="1" applyBorder="1" applyAlignment="1"/>
    <xf numFmtId="2" fontId="4" fillId="2" borderId="50" xfId="0" applyNumberFormat="1" applyFont="1" applyFill="1" applyBorder="1" applyAlignment="1"/>
    <xf numFmtId="0" fontId="4" fillId="2" borderId="0" xfId="2" applyFont="1" applyFill="1" applyAlignment="1"/>
    <xf numFmtId="3" fontId="5" fillId="2" borderId="0" xfId="2" applyNumberFormat="1" applyFont="1" applyFill="1" applyAlignment="1"/>
    <xf numFmtId="3" fontId="5" fillId="0" borderId="0" xfId="2" applyNumberFormat="1" applyFont="1" applyFill="1" applyAlignment="1"/>
    <xf numFmtId="2" fontId="4" fillId="0" borderId="0" xfId="0" applyNumberFormat="1" applyFont="1" applyFill="1" applyAlignment="1"/>
    <xf numFmtId="3" fontId="4" fillId="2" borderId="20" xfId="2" applyNumberFormat="1" applyFont="1" applyFill="1" applyBorder="1" applyAlignment="1"/>
    <xf numFmtId="164" fontId="4" fillId="2" borderId="20" xfId="2" applyNumberFormat="1" applyFont="1" applyFill="1" applyBorder="1" applyAlignment="1"/>
    <xf numFmtId="0" fontId="8" fillId="2" borderId="10" xfId="2" applyFont="1" applyFill="1" applyBorder="1" applyAlignment="1"/>
    <xf numFmtId="3" fontId="8" fillId="2" borderId="15" xfId="2" applyNumberFormat="1" applyFont="1" applyFill="1" applyBorder="1" applyAlignment="1"/>
    <xf numFmtId="164" fontId="8" fillId="2" borderId="15" xfId="2" applyNumberFormat="1" applyFont="1" applyFill="1" applyBorder="1" applyAlignment="1"/>
    <xf numFmtId="0" fontId="4" fillId="3" borderId="18" xfId="2" applyFont="1" applyFill="1" applyBorder="1" applyAlignment="1"/>
    <xf numFmtId="0" fontId="5" fillId="2" borderId="18" xfId="2" applyFont="1" applyFill="1" applyBorder="1" applyAlignment="1"/>
    <xf numFmtId="0" fontId="4" fillId="2" borderId="18" xfId="2" applyFont="1" applyFill="1" applyBorder="1" applyAlignment="1"/>
    <xf numFmtId="0" fontId="4" fillId="2" borderId="54" xfId="2" applyFont="1" applyFill="1" applyBorder="1" applyAlignment="1"/>
    <xf numFmtId="0" fontId="4" fillId="2" borderId="47" xfId="2" applyFont="1" applyFill="1" applyBorder="1" applyAlignment="1"/>
    <xf numFmtId="0" fontId="4" fillId="2" borderId="0" xfId="2" applyFont="1" applyFill="1" applyBorder="1" applyAlignment="1"/>
    <xf numFmtId="2" fontId="4" fillId="2" borderId="0" xfId="0" applyNumberFormat="1" applyFont="1" applyFill="1" applyBorder="1" applyAlignment="1"/>
    <xf numFmtId="2" fontId="4" fillId="3" borderId="56" xfId="0" applyNumberFormat="1" applyFont="1" applyFill="1" applyBorder="1" applyAlignment="1"/>
    <xf numFmtId="4" fontId="4" fillId="2" borderId="40" xfId="2" applyNumberFormat="1" applyFont="1" applyFill="1" applyBorder="1" applyAlignment="1"/>
    <xf numFmtId="0" fontId="4" fillId="0" borderId="0" xfId="2" applyFont="1" applyFill="1" applyAlignment="1"/>
    <xf numFmtId="0" fontId="8" fillId="2" borderId="28" xfId="2" applyFont="1" applyFill="1" applyBorder="1" applyAlignment="1"/>
    <xf numFmtId="0" fontId="5" fillId="2" borderId="20" xfId="2" applyFont="1" applyFill="1" applyBorder="1" applyAlignment="1"/>
    <xf numFmtId="3" fontId="4" fillId="2" borderId="21" xfId="2" applyNumberFormat="1" applyFont="1" applyFill="1" applyBorder="1" applyAlignment="1"/>
    <xf numFmtId="2" fontId="8" fillId="0" borderId="49" xfId="0" applyNumberFormat="1" applyFont="1" applyFill="1" applyBorder="1" applyAlignment="1">
      <alignment horizontal="right"/>
    </xf>
    <xf numFmtId="0" fontId="4" fillId="0" borderId="9" xfId="2" applyFont="1" applyFill="1" applyBorder="1" applyAlignment="1"/>
    <xf numFmtId="0" fontId="4" fillId="0" borderId="54" xfId="2" applyFont="1" applyFill="1" applyBorder="1" applyAlignment="1"/>
    <xf numFmtId="0" fontId="4" fillId="2" borderId="13" xfId="2" applyFont="1" applyFill="1" applyBorder="1" applyAlignment="1"/>
    <xf numFmtId="3" fontId="4" fillId="2" borderId="12" xfId="2" applyNumberFormat="1" applyFont="1" applyFill="1" applyBorder="1" applyAlignment="1"/>
    <xf numFmtId="2" fontId="4" fillId="2" borderId="34" xfId="0" applyNumberFormat="1" applyFont="1" applyFill="1" applyBorder="1" applyAlignment="1"/>
    <xf numFmtId="2" fontId="6" fillId="2" borderId="48" xfId="0" applyNumberFormat="1" applyFont="1" applyFill="1" applyBorder="1" applyAlignment="1"/>
    <xf numFmtId="0" fontId="8" fillId="2" borderId="0" xfId="2" applyFont="1" applyFill="1" applyAlignment="1"/>
    <xf numFmtId="0" fontId="8" fillId="2" borderId="2" xfId="0" applyFont="1" applyFill="1" applyBorder="1" applyAlignment="1">
      <alignment horizontal="center" wrapText="1"/>
    </xf>
    <xf numFmtId="0" fontId="8" fillId="2" borderId="2" xfId="0" applyFont="1" applyFill="1" applyBorder="1" applyAlignment="1"/>
    <xf numFmtId="0" fontId="8" fillId="2" borderId="4" xfId="0" applyFont="1" applyFill="1" applyBorder="1" applyAlignment="1">
      <alignment horizontal="center" wrapText="1"/>
    </xf>
    <xf numFmtId="49" fontId="8" fillId="2" borderId="15" xfId="0" applyNumberFormat="1" applyFont="1" applyFill="1" applyBorder="1" applyAlignment="1"/>
    <xf numFmtId="4" fontId="8" fillId="2" borderId="12" xfId="2" applyNumberFormat="1" applyFont="1" applyFill="1" applyBorder="1" applyAlignment="1"/>
    <xf numFmtId="0" fontId="4" fillId="0" borderId="13" xfId="3" applyFont="1" applyFill="1" applyBorder="1" applyAlignment="1">
      <alignment horizontal="left" wrapText="1"/>
    </xf>
    <xf numFmtId="4" fontId="4" fillId="2" borderId="12" xfId="2" applyNumberFormat="1" applyFont="1" applyFill="1" applyBorder="1" applyAlignment="1"/>
    <xf numFmtId="0" fontId="4" fillId="0" borderId="0" xfId="3" applyFont="1" applyFill="1" applyAlignment="1"/>
    <xf numFmtId="0" fontId="4" fillId="0" borderId="0" xfId="3" applyFont="1" applyAlignment="1"/>
    <xf numFmtId="0" fontId="8" fillId="2" borderId="20" xfId="1" applyFont="1" applyFill="1" applyBorder="1" applyAlignment="1"/>
    <xf numFmtId="0" fontId="13" fillId="0" borderId="0" xfId="0" applyFont="1" applyBorder="1" applyAlignment="1">
      <alignment wrapText="1"/>
    </xf>
    <xf numFmtId="3" fontId="4" fillId="2" borderId="0" xfId="3" applyNumberFormat="1" applyFont="1" applyFill="1" applyBorder="1" applyAlignment="1"/>
    <xf numFmtId="0" fontId="14" fillId="2" borderId="0" xfId="0" applyFont="1" applyFill="1" applyBorder="1" applyAlignment="1"/>
    <xf numFmtId="49" fontId="4" fillId="0" borderId="11" xfId="3" applyNumberFormat="1" applyFont="1" applyBorder="1" applyAlignment="1">
      <alignment horizontal="center"/>
    </xf>
    <xf numFmtId="0" fontId="13" fillId="0" borderId="20" xfId="0" applyFont="1" applyBorder="1" applyAlignment="1">
      <alignment wrapText="1"/>
    </xf>
    <xf numFmtId="3" fontId="4" fillId="2" borderId="20" xfId="3" applyNumberFormat="1" applyFont="1" applyFill="1" applyBorder="1" applyAlignment="1"/>
    <xf numFmtId="0" fontId="14" fillId="2" borderId="20" xfId="0" applyFont="1" applyFill="1" applyBorder="1" applyAlignment="1"/>
    <xf numFmtId="49" fontId="4" fillId="0" borderId="44" xfId="3" applyNumberFormat="1" applyFont="1" applyBorder="1" applyAlignment="1">
      <alignment horizontal="center"/>
    </xf>
    <xf numFmtId="0" fontId="13" fillId="0" borderId="21" xfId="0" applyFont="1" applyBorder="1" applyAlignment="1">
      <alignment wrapText="1"/>
    </xf>
    <xf numFmtId="49" fontId="4" fillId="2" borderId="11" xfId="3" applyNumberFormat="1" applyFont="1" applyFill="1" applyBorder="1" applyAlignment="1">
      <alignment horizontal="center"/>
    </xf>
    <xf numFmtId="4" fontId="6" fillId="2" borderId="37" xfId="2" applyNumberFormat="1" applyFont="1" applyFill="1" applyBorder="1" applyAlignment="1"/>
    <xf numFmtId="0" fontId="17" fillId="2" borderId="0" xfId="0" applyFont="1" applyFill="1" applyBorder="1" applyAlignment="1"/>
    <xf numFmtId="164" fontId="14" fillId="0" borderId="0" xfId="0" applyNumberFormat="1" applyFont="1" applyFill="1" applyAlignment="1"/>
    <xf numFmtId="0" fontId="17" fillId="0" borderId="0" xfId="0" applyFont="1" applyAlignment="1"/>
    <xf numFmtId="0" fontId="14" fillId="0" borderId="0" xfId="0" applyFont="1" applyAlignment="1"/>
    <xf numFmtId="3" fontId="14" fillId="0" borderId="0" xfId="0" applyNumberFormat="1" applyFont="1" applyAlignment="1"/>
    <xf numFmtId="0" fontId="8" fillId="2" borderId="7" xfId="0" applyFont="1" applyFill="1" applyBorder="1" applyAlignment="1">
      <alignment horizontal="center" wrapText="1"/>
    </xf>
    <xf numFmtId="49" fontId="4" fillId="2" borderId="13" xfId="3" applyNumberFormat="1" applyFont="1" applyFill="1" applyBorder="1" applyAlignment="1">
      <alignment horizontal="center"/>
    </xf>
    <xf numFmtId="0" fontId="13" fillId="2" borderId="13" xfId="3" applyFont="1" applyFill="1" applyBorder="1" applyAlignment="1">
      <alignment wrapText="1"/>
    </xf>
    <xf numFmtId="2" fontId="14" fillId="0" borderId="0" xfId="0" applyNumberFormat="1" applyFont="1" applyAlignment="1"/>
    <xf numFmtId="0" fontId="4" fillId="0" borderId="20" xfId="3" applyFont="1" applyBorder="1" applyAlignment="1">
      <alignment wrapText="1"/>
    </xf>
    <xf numFmtId="49" fontId="4" fillId="0" borderId="13" xfId="3" applyNumberFormat="1" applyFont="1" applyBorder="1" applyAlignment="1">
      <alignment horizontal="center"/>
    </xf>
    <xf numFmtId="0" fontId="17" fillId="2" borderId="56" xfId="0" applyFont="1" applyFill="1" applyBorder="1" applyAlignment="1"/>
    <xf numFmtId="0" fontId="0" fillId="0" borderId="0" xfId="0" applyAlignment="1"/>
    <xf numFmtId="0" fontId="0" fillId="0" borderId="0" xfId="0" applyFill="1" applyAlignment="1"/>
    <xf numFmtId="49" fontId="4" fillId="0" borderId="14" xfId="3" applyNumberFormat="1" applyFont="1" applyBorder="1" applyAlignment="1">
      <alignment horizontal="center"/>
    </xf>
    <xf numFmtId="0" fontId="4" fillId="0" borderId="13" xfId="3" applyFont="1" applyBorder="1" applyAlignment="1">
      <alignment wrapText="1"/>
    </xf>
    <xf numFmtId="4" fontId="6" fillId="2" borderId="0" xfId="2" applyNumberFormat="1" applyFont="1" applyFill="1" applyBorder="1" applyAlignment="1"/>
    <xf numFmtId="4" fontId="8" fillId="2" borderId="15" xfId="0" applyNumberFormat="1" applyFont="1" applyFill="1" applyBorder="1" applyAlignment="1">
      <alignment horizontal="right"/>
    </xf>
    <xf numFmtId="49" fontId="8" fillId="2" borderId="43" xfId="0" applyNumberFormat="1" applyFont="1" applyFill="1" applyBorder="1" applyAlignment="1">
      <alignment horizontal="center"/>
    </xf>
    <xf numFmtId="49" fontId="8" fillId="2" borderId="18" xfId="0" applyNumberFormat="1" applyFont="1" applyFill="1" applyBorder="1" applyAlignment="1">
      <alignment horizontal="left"/>
    </xf>
    <xf numFmtId="49" fontId="4" fillId="2" borderId="44" xfId="2" applyNumberFormat="1" applyFont="1" applyFill="1" applyBorder="1" applyAlignment="1">
      <alignment horizontal="center"/>
    </xf>
    <xf numFmtId="0" fontId="6" fillId="2" borderId="24" xfId="2" applyFont="1" applyFill="1" applyBorder="1" applyAlignment="1"/>
    <xf numFmtId="0" fontId="6" fillId="2" borderId="35" xfId="2" applyFont="1" applyFill="1" applyBorder="1" applyAlignment="1"/>
    <xf numFmtId="0" fontId="2" fillId="0" borderId="0" xfId="0" applyFont="1" applyFill="1" applyAlignment="1"/>
    <xf numFmtId="0" fontId="7" fillId="0" borderId="0" xfId="0" applyFont="1" applyFill="1" applyAlignment="1"/>
    <xf numFmtId="43" fontId="14" fillId="2" borderId="0" xfId="4" applyFont="1" applyFill="1" applyAlignment="1"/>
    <xf numFmtId="14" fontId="8" fillId="2" borderId="7" xfId="0" applyNumberFormat="1" applyFont="1" applyFill="1" applyBorder="1" applyAlignment="1">
      <alignment horizontal="center"/>
    </xf>
    <xf numFmtId="0" fontId="4" fillId="2" borderId="20" xfId="0" applyFont="1" applyFill="1" applyBorder="1" applyAlignment="1">
      <alignment horizontal="center"/>
    </xf>
    <xf numFmtId="2" fontId="4" fillId="0" borderId="49" xfId="0" applyNumberFormat="1" applyFont="1" applyFill="1" applyBorder="1" applyAlignment="1"/>
    <xf numFmtId="49" fontId="4" fillId="0" borderId="44" xfId="3" applyNumberFormat="1" applyFont="1" applyFill="1" applyBorder="1" applyAlignment="1">
      <alignment horizontal="center"/>
    </xf>
    <xf numFmtId="0" fontId="13" fillId="0" borderId="20" xfId="0" applyFont="1" applyFill="1" applyBorder="1" applyAlignment="1">
      <alignment horizontal="left" wrapText="1"/>
    </xf>
    <xf numFmtId="0" fontId="4" fillId="0" borderId="20" xfId="0" applyFont="1" applyFill="1" applyBorder="1" applyAlignment="1">
      <alignment horizontal="left" wrapText="1"/>
    </xf>
    <xf numFmtId="49" fontId="4" fillId="0" borderId="54" xfId="2" applyNumberFormat="1" applyFont="1" applyFill="1" applyBorder="1" applyAlignment="1">
      <alignment horizontal="center"/>
    </xf>
    <xf numFmtId="2" fontId="4" fillId="0" borderId="34" xfId="0" applyNumberFormat="1" applyFont="1" applyFill="1" applyBorder="1" applyAlignment="1"/>
    <xf numFmtId="49" fontId="5" fillId="2" borderId="10" xfId="0" applyNumberFormat="1" applyFont="1" applyFill="1" applyBorder="1" applyAlignment="1">
      <alignment horizontal="center"/>
    </xf>
    <xf numFmtId="0" fontId="5" fillId="2" borderId="17" xfId="0" applyFont="1" applyFill="1" applyBorder="1" applyAlignment="1">
      <alignment horizontal="center"/>
    </xf>
    <xf numFmtId="0" fontId="5" fillId="2" borderId="20" xfId="0" applyFont="1" applyFill="1" applyBorder="1" applyAlignment="1">
      <alignment horizontal="center"/>
    </xf>
    <xf numFmtId="0" fontId="4" fillId="2" borderId="4" xfId="2" applyFont="1" applyFill="1" applyBorder="1" applyAlignment="1">
      <alignment horizontal="left"/>
    </xf>
    <xf numFmtId="49" fontId="5" fillId="2" borderId="20" xfId="0" applyNumberFormat="1" applyFont="1" applyFill="1" applyBorder="1" applyAlignment="1">
      <alignment horizontal="center"/>
    </xf>
    <xf numFmtId="0" fontId="14" fillId="2" borderId="0" xfId="0" applyFont="1" applyFill="1" applyAlignment="1">
      <alignment horizontal="right"/>
    </xf>
    <xf numFmtId="43" fontId="17" fillId="2" borderId="0" xfId="4" applyFont="1" applyFill="1" applyAlignment="1"/>
    <xf numFmtId="0" fontId="8" fillId="2" borderId="60" xfId="0" applyFont="1" applyFill="1" applyBorder="1" applyAlignment="1">
      <alignment horizontal="center"/>
    </xf>
    <xf numFmtId="0" fontId="8" fillId="2" borderId="61" xfId="0" applyFont="1" applyFill="1" applyBorder="1" applyAlignment="1">
      <alignment horizontal="center"/>
    </xf>
    <xf numFmtId="49" fontId="4" fillId="2" borderId="7" xfId="0" applyNumberFormat="1" applyFont="1" applyFill="1" applyBorder="1" applyAlignment="1">
      <alignment horizontal="center"/>
    </xf>
    <xf numFmtId="0" fontId="8" fillId="2" borderId="59" xfId="0" applyFont="1" applyFill="1" applyBorder="1" applyAlignment="1">
      <alignment horizontal="center"/>
    </xf>
    <xf numFmtId="43" fontId="14" fillId="2" borderId="0" xfId="4" applyFont="1" applyFill="1" applyAlignment="1">
      <alignment wrapText="1"/>
    </xf>
    <xf numFmtId="2" fontId="19" fillId="2" borderId="49" xfId="4" applyNumberFormat="1" applyFont="1" applyFill="1" applyBorder="1" applyAlignment="1"/>
    <xf numFmtId="43" fontId="14" fillId="2" borderId="0" xfId="4" applyFont="1" applyFill="1" applyBorder="1" applyAlignment="1"/>
    <xf numFmtId="4" fontId="8" fillId="2" borderId="16" xfId="2" applyNumberFormat="1" applyFont="1" applyFill="1" applyBorder="1" applyAlignment="1"/>
    <xf numFmtId="43" fontId="18" fillId="2" borderId="0" xfId="4" applyFont="1" applyFill="1" applyAlignment="1"/>
    <xf numFmtId="4" fontId="4" fillId="2" borderId="49" xfId="0" applyNumberFormat="1" applyFont="1" applyFill="1" applyBorder="1" applyAlignment="1">
      <alignment horizontal="right"/>
    </xf>
    <xf numFmtId="0" fontId="6" fillId="2" borderId="2" xfId="0" applyFont="1" applyFill="1" applyBorder="1" applyAlignment="1">
      <alignment horizontal="center"/>
    </xf>
    <xf numFmtId="14" fontId="6" fillId="2" borderId="2" xfId="0" applyNumberFormat="1" applyFont="1" applyFill="1" applyBorder="1" applyAlignment="1">
      <alignment horizontal="center"/>
    </xf>
    <xf numFmtId="49" fontId="4" fillId="2" borderId="8" xfId="3" applyNumberFormat="1" applyFont="1" applyFill="1" applyBorder="1" applyAlignment="1">
      <alignment horizontal="center" wrapText="1"/>
    </xf>
    <xf numFmtId="49" fontId="12" fillId="2" borderId="15" xfId="3" applyNumberFormat="1" applyFont="1" applyFill="1" applyBorder="1" applyAlignment="1">
      <alignment horizontal="center"/>
    </xf>
    <xf numFmtId="0" fontId="4" fillId="2" borderId="20" xfId="3" applyFont="1" applyFill="1" applyBorder="1" applyAlignment="1">
      <alignment wrapText="1"/>
    </xf>
    <xf numFmtId="0" fontId="12" fillId="2" borderId="20" xfId="3" applyFont="1" applyFill="1" applyBorder="1" applyAlignment="1">
      <alignment horizontal="left" wrapText="1"/>
    </xf>
    <xf numFmtId="2" fontId="14" fillId="2" borderId="49" xfId="4" applyNumberFormat="1" applyFont="1" applyFill="1" applyBorder="1" applyAlignment="1"/>
    <xf numFmtId="49" fontId="4" fillId="2" borderId="14" xfId="3" applyNumberFormat="1" applyFont="1" applyFill="1" applyBorder="1" applyAlignment="1">
      <alignment horizontal="center" wrapText="1"/>
    </xf>
    <xf numFmtId="49" fontId="12" fillId="2" borderId="20" xfId="3" applyNumberFormat="1" applyFont="1" applyFill="1" applyBorder="1" applyAlignment="1">
      <alignment horizontal="center"/>
    </xf>
    <xf numFmtId="0" fontId="6" fillId="2" borderId="26" xfId="3" applyFont="1" applyFill="1" applyBorder="1" applyAlignment="1">
      <alignment horizontal="center" wrapText="1"/>
    </xf>
    <xf numFmtId="0" fontId="8" fillId="2" borderId="62" xfId="0" applyFont="1" applyFill="1" applyBorder="1" applyAlignment="1">
      <alignment horizontal="center"/>
    </xf>
    <xf numFmtId="0" fontId="8" fillId="2" borderId="5" xfId="0" applyFont="1" applyFill="1" applyBorder="1" applyAlignment="1">
      <alignment horizontal="center"/>
    </xf>
    <xf numFmtId="14" fontId="8" fillId="2" borderId="63" xfId="0" applyNumberFormat="1" applyFont="1" applyFill="1" applyBorder="1" applyAlignment="1">
      <alignment horizontal="center"/>
    </xf>
    <xf numFmtId="0" fontId="4" fillId="2" borderId="15" xfId="3" applyFont="1" applyFill="1" applyBorder="1" applyAlignment="1">
      <alignment horizontal="left" wrapText="1"/>
    </xf>
    <xf numFmtId="0" fontId="8" fillId="2" borderId="15" xfId="1" applyFont="1" applyFill="1" applyBorder="1" applyAlignment="1"/>
    <xf numFmtId="2" fontId="8" fillId="2" borderId="41" xfId="0" applyNumberFormat="1" applyFont="1" applyFill="1" applyBorder="1" applyAlignment="1"/>
    <xf numFmtId="49" fontId="4" fillId="0" borderId="0" xfId="2" applyNumberFormat="1" applyFont="1" applyFill="1" applyBorder="1" applyAlignment="1">
      <alignment horizontal="center"/>
    </xf>
    <xf numFmtId="4" fontId="4" fillId="0" borderId="0" xfId="2" applyNumberFormat="1" applyFont="1" applyFill="1" applyBorder="1" applyAlignment="1"/>
    <xf numFmtId="0" fontId="6" fillId="2" borderId="33" xfId="0" applyFont="1" applyFill="1" applyBorder="1" applyAlignment="1"/>
    <xf numFmtId="49" fontId="6" fillId="2" borderId="33" xfId="0" applyNumberFormat="1" applyFont="1" applyFill="1" applyBorder="1" applyAlignment="1"/>
    <xf numFmtId="0" fontId="4" fillId="2" borderId="4" xfId="3" applyFont="1" applyFill="1" applyBorder="1" applyAlignment="1">
      <alignment wrapText="1"/>
    </xf>
    <xf numFmtId="2" fontId="14" fillId="2" borderId="34" xfId="4" applyNumberFormat="1" applyFont="1" applyFill="1" applyBorder="1" applyAlignment="1"/>
    <xf numFmtId="0" fontId="8" fillId="2" borderId="15" xfId="2" applyFont="1" applyFill="1" applyBorder="1" applyAlignment="1">
      <alignment horizontal="left"/>
    </xf>
    <xf numFmtId="49" fontId="8" fillId="2" borderId="15" xfId="2" applyNumberFormat="1" applyFont="1" applyFill="1" applyBorder="1" applyAlignment="1">
      <alignment horizontal="left"/>
    </xf>
    <xf numFmtId="0" fontId="4" fillId="3" borderId="51" xfId="2" applyFont="1" applyFill="1" applyBorder="1" applyAlignment="1">
      <alignment horizontal="center"/>
    </xf>
    <xf numFmtId="49" fontId="4" fillId="3" borderId="32" xfId="2" applyNumberFormat="1" applyFont="1" applyFill="1" applyBorder="1" applyAlignment="1" applyProtection="1">
      <alignment horizontal="center"/>
      <protection locked="0"/>
    </xf>
    <xf numFmtId="0" fontId="4" fillId="3" borderId="33" xfId="2" applyFont="1" applyFill="1" applyBorder="1" applyAlignment="1">
      <alignment horizontal="left"/>
    </xf>
    <xf numFmtId="0" fontId="4" fillId="3" borderId="53" xfId="2" applyFont="1" applyFill="1" applyBorder="1" applyAlignment="1"/>
    <xf numFmtId="3" fontId="4" fillId="3" borderId="33" xfId="0" applyNumberFormat="1" applyFont="1" applyFill="1" applyBorder="1" applyAlignment="1">
      <alignment horizontal="right"/>
    </xf>
    <xf numFmtId="164" fontId="4" fillId="3" borderId="33" xfId="0" applyNumberFormat="1" applyFont="1" applyFill="1" applyBorder="1" applyAlignment="1">
      <alignment horizontal="right"/>
    </xf>
    <xf numFmtId="4" fontId="4" fillId="3" borderId="53" xfId="2" applyNumberFormat="1" applyFont="1" applyFill="1" applyBorder="1" applyAlignment="1"/>
    <xf numFmtId="49" fontId="4" fillId="3" borderId="51" xfId="2" applyNumberFormat="1" applyFont="1" applyFill="1" applyBorder="1" applyAlignment="1">
      <alignment horizontal="center"/>
    </xf>
    <xf numFmtId="49" fontId="4" fillId="3" borderId="32" xfId="2" applyNumberFormat="1" applyFont="1" applyFill="1" applyBorder="1" applyAlignment="1">
      <alignment horizontal="center"/>
    </xf>
    <xf numFmtId="0" fontId="4" fillId="3" borderId="52" xfId="2" applyFont="1" applyFill="1" applyBorder="1" applyAlignment="1">
      <alignment horizontal="left"/>
    </xf>
    <xf numFmtId="0" fontId="4" fillId="3" borderId="33" xfId="2" applyFont="1" applyFill="1" applyBorder="1" applyAlignment="1"/>
    <xf numFmtId="3" fontId="4" fillId="3" borderId="33" xfId="2" applyNumberFormat="1" applyFont="1" applyFill="1" applyBorder="1" applyAlignment="1"/>
    <xf numFmtId="164" fontId="4" fillId="3" borderId="33" xfId="2" applyNumberFormat="1" applyFont="1" applyFill="1" applyBorder="1" applyAlignment="1"/>
    <xf numFmtId="0" fontId="6" fillId="2" borderId="64" xfId="1" applyFont="1" applyFill="1" applyBorder="1" applyAlignment="1">
      <alignment horizontal="left"/>
    </xf>
    <xf numFmtId="0" fontId="16" fillId="2" borderId="53" xfId="1" applyFont="1" applyFill="1" applyBorder="1" applyAlignment="1"/>
    <xf numFmtId="0" fontId="16" fillId="2" borderId="33" xfId="1" applyFont="1" applyFill="1" applyBorder="1" applyAlignment="1"/>
    <xf numFmtId="0" fontId="20" fillId="2" borderId="28" xfId="0" applyFont="1" applyFill="1" applyBorder="1" applyAlignment="1"/>
    <xf numFmtId="0" fontId="13" fillId="0" borderId="15" xfId="0" applyFont="1" applyFill="1" applyBorder="1" applyAlignment="1">
      <alignment horizontal="left" wrapText="1"/>
    </xf>
    <xf numFmtId="4" fontId="4" fillId="0" borderId="23" xfId="2" applyNumberFormat="1" applyFont="1" applyFill="1" applyBorder="1" applyAlignment="1">
      <alignment horizontal="right"/>
    </xf>
    <xf numFmtId="2" fontId="4" fillId="0" borderId="41" xfId="0" applyNumberFormat="1" applyFont="1" applyFill="1" applyBorder="1" applyAlignment="1"/>
    <xf numFmtId="0" fontId="4" fillId="2" borderId="22" xfId="0" applyFont="1" applyFill="1" applyBorder="1" applyAlignment="1">
      <alignment horizontal="center"/>
    </xf>
    <xf numFmtId="0" fontId="6" fillId="2" borderId="24" xfId="2" applyFont="1" applyFill="1" applyBorder="1" applyAlignment="1"/>
    <xf numFmtId="0" fontId="6" fillId="2" borderId="35" xfId="2" applyFont="1" applyFill="1" applyBorder="1" applyAlignment="1"/>
    <xf numFmtId="49" fontId="8" fillId="0" borderId="21" xfId="2" applyNumberFormat="1" applyFont="1" applyFill="1" applyBorder="1" applyAlignment="1" applyProtection="1">
      <alignment horizontal="left"/>
      <protection locked="0"/>
    </xf>
    <xf numFmtId="0" fontId="8" fillId="2" borderId="20" xfId="2" applyFont="1" applyFill="1" applyBorder="1" applyAlignment="1">
      <alignment horizontal="left"/>
    </xf>
    <xf numFmtId="49" fontId="4" fillId="0" borderId="39" xfId="2" applyNumberFormat="1" applyFont="1" applyFill="1" applyBorder="1" applyAlignment="1">
      <alignment horizontal="center"/>
    </xf>
    <xf numFmtId="4" fontId="4" fillId="0" borderId="40" xfId="2" applyNumberFormat="1" applyFont="1" applyFill="1" applyBorder="1" applyAlignment="1"/>
    <xf numFmtId="164" fontId="6" fillId="2" borderId="26" xfId="3" applyNumberFormat="1" applyFont="1" applyFill="1" applyBorder="1" applyAlignment="1">
      <alignment vertical="top" wrapText="1"/>
    </xf>
    <xf numFmtId="3" fontId="6" fillId="2" borderId="26" xfId="3" applyNumberFormat="1" applyFont="1" applyFill="1" applyBorder="1" applyAlignment="1">
      <alignment vertical="top" wrapText="1"/>
    </xf>
    <xf numFmtId="4" fontId="6" fillId="2" borderId="37" xfId="2" applyNumberFormat="1" applyFont="1" applyFill="1" applyBorder="1" applyAlignment="1">
      <alignment vertical="top"/>
    </xf>
    <xf numFmtId="2" fontId="6" fillId="2" borderId="48" xfId="0" applyNumberFormat="1" applyFont="1" applyFill="1" applyBorder="1" applyAlignment="1">
      <alignment vertical="top"/>
    </xf>
    <xf numFmtId="4" fontId="6" fillId="2" borderId="26" xfId="0" applyNumberFormat="1" applyFont="1" applyFill="1" applyBorder="1" applyAlignment="1">
      <alignment horizontal="right" vertical="top"/>
    </xf>
    <xf numFmtId="4" fontId="6" fillId="2" borderId="48" xfId="0" applyNumberFormat="1" applyFont="1" applyFill="1" applyBorder="1" applyAlignment="1">
      <alignment horizontal="right" vertical="top"/>
    </xf>
    <xf numFmtId="4" fontId="6" fillId="2" borderId="48" xfId="0" applyNumberFormat="1" applyFont="1" applyFill="1" applyBorder="1" applyAlignment="1">
      <alignment vertical="top"/>
    </xf>
    <xf numFmtId="3" fontId="6" fillId="2" borderId="26" xfId="2" applyNumberFormat="1" applyFont="1" applyFill="1" applyBorder="1" applyAlignment="1">
      <alignment vertical="top"/>
    </xf>
    <xf numFmtId="3" fontId="6" fillId="0" borderId="26" xfId="2" applyNumberFormat="1" applyFont="1" applyBorder="1" applyAlignment="1">
      <alignment vertical="top"/>
    </xf>
    <xf numFmtId="0" fontId="17" fillId="0" borderId="0" xfId="0" applyFont="1" applyBorder="1" applyAlignment="1">
      <alignment vertical="top"/>
    </xf>
    <xf numFmtId="164" fontId="17" fillId="0" borderId="0" xfId="0" applyNumberFormat="1" applyFont="1" applyBorder="1" applyAlignment="1">
      <alignment vertical="top"/>
    </xf>
    <xf numFmtId="3" fontId="17" fillId="0" borderId="0" xfId="0" applyNumberFormat="1" applyFont="1" applyBorder="1" applyAlignment="1">
      <alignment vertical="top"/>
    </xf>
    <xf numFmtId="4" fontId="17" fillId="0" borderId="0" xfId="0" applyNumberFormat="1" applyFont="1" applyBorder="1" applyAlignment="1">
      <alignment vertical="top"/>
    </xf>
    <xf numFmtId="2" fontId="6" fillId="2" borderId="0" xfId="0" applyNumberFormat="1" applyFont="1" applyFill="1" applyBorder="1" applyAlignment="1">
      <alignment vertical="top"/>
    </xf>
    <xf numFmtId="3" fontId="6" fillId="2" borderId="26" xfId="0" applyNumberFormat="1" applyFont="1" applyFill="1" applyBorder="1" applyAlignment="1">
      <alignment vertical="top"/>
    </xf>
    <xf numFmtId="4" fontId="6" fillId="2" borderId="37" xfId="2" applyNumberFormat="1" applyFont="1" applyFill="1" applyBorder="1" applyAlignment="1">
      <alignment horizontal="right" vertical="top"/>
    </xf>
    <xf numFmtId="3" fontId="6" fillId="2" borderId="37" xfId="2" applyNumberFormat="1" applyFont="1" applyFill="1" applyBorder="1" applyAlignment="1">
      <alignment horizontal="right" vertical="top"/>
    </xf>
    <xf numFmtId="0" fontId="17" fillId="2" borderId="0" xfId="0" applyFont="1" applyFill="1" applyAlignment="1">
      <alignment vertical="top"/>
    </xf>
    <xf numFmtId="4" fontId="17" fillId="2" borderId="0" xfId="0" applyNumberFormat="1" applyFont="1" applyFill="1" applyAlignment="1">
      <alignment vertical="top"/>
    </xf>
    <xf numFmtId="4" fontId="6" fillId="2" borderId="26" xfId="2" applyNumberFormat="1" applyFont="1" applyFill="1" applyBorder="1" applyAlignment="1">
      <alignment vertical="top"/>
    </xf>
    <xf numFmtId="49" fontId="4" fillId="0" borderId="8" xfId="3" applyNumberFormat="1" applyFont="1" applyBorder="1" applyAlignment="1">
      <alignment horizontal="center"/>
    </xf>
    <xf numFmtId="49" fontId="4" fillId="0" borderId="15" xfId="3" applyNumberFormat="1" applyFont="1" applyBorder="1" applyAlignment="1">
      <alignment horizontal="center"/>
    </xf>
    <xf numFmtId="0" fontId="13" fillId="0" borderId="15" xfId="0" applyFont="1" applyBorder="1" applyAlignment="1">
      <alignment wrapText="1"/>
    </xf>
    <xf numFmtId="2" fontId="4" fillId="2" borderId="41" xfId="0" applyNumberFormat="1" applyFont="1" applyFill="1" applyBorder="1" applyAlignment="1"/>
    <xf numFmtId="0" fontId="13" fillId="2" borderId="20" xfId="0" applyFont="1" applyFill="1" applyBorder="1" applyAlignment="1">
      <alignment wrapText="1"/>
    </xf>
    <xf numFmtId="0" fontId="13" fillId="2" borderId="15" xfId="0" applyFont="1" applyFill="1" applyBorder="1" applyAlignment="1">
      <alignment wrapText="1"/>
    </xf>
    <xf numFmtId="164" fontId="6" fillId="2" borderId="26" xfId="2" applyNumberFormat="1" applyFont="1" applyFill="1" applyBorder="1" applyAlignment="1">
      <alignment vertical="top"/>
    </xf>
    <xf numFmtId="164" fontId="6" fillId="2" borderId="26" xfId="0" applyNumberFormat="1" applyFont="1" applyFill="1" applyBorder="1" applyAlignment="1">
      <alignment vertical="top"/>
    </xf>
    <xf numFmtId="49" fontId="4" fillId="2" borderId="19" xfId="0" applyNumberFormat="1" applyFont="1" applyFill="1" applyBorder="1" applyAlignment="1">
      <alignment horizontal="center"/>
    </xf>
    <xf numFmtId="49" fontId="8" fillId="2" borderId="44" xfId="0" applyNumberFormat="1" applyFont="1" applyFill="1" applyBorder="1" applyAlignment="1">
      <alignment horizontal="center"/>
    </xf>
    <xf numFmtId="164" fontId="6" fillId="2" borderId="26" xfId="3" applyNumberFormat="1" applyFont="1" applyFill="1" applyBorder="1" applyAlignment="1">
      <alignment horizontal="right" vertical="top" wrapText="1"/>
    </xf>
    <xf numFmtId="0" fontId="13" fillId="0" borderId="19" xfId="0" applyFont="1" applyFill="1" applyBorder="1" applyAlignment="1">
      <alignment horizontal="left" wrapText="1"/>
    </xf>
    <xf numFmtId="49" fontId="18" fillId="2" borderId="8" xfId="2" applyNumberFormat="1" applyFont="1" applyFill="1" applyBorder="1" applyAlignment="1">
      <alignment horizontal="center"/>
    </xf>
    <xf numFmtId="49" fontId="18" fillId="2" borderId="20" xfId="2" applyNumberFormat="1" applyFont="1" applyFill="1" applyBorder="1" applyAlignment="1">
      <alignment horizontal="left"/>
    </xf>
    <xf numFmtId="49" fontId="5" fillId="2" borderId="54" xfId="0" applyNumberFormat="1" applyFont="1" applyFill="1" applyBorder="1" applyAlignment="1">
      <alignment horizontal="left"/>
    </xf>
    <xf numFmtId="164" fontId="4" fillId="2" borderId="13" xfId="0" applyNumberFormat="1" applyFont="1" applyFill="1" applyBorder="1"/>
    <xf numFmtId="0" fontId="4" fillId="2" borderId="23" xfId="2" applyFont="1" applyFill="1" applyBorder="1" applyAlignment="1">
      <alignment wrapText="1"/>
    </xf>
    <xf numFmtId="0" fontId="4" fillId="2" borderId="13" xfId="2" applyFont="1" applyFill="1" applyBorder="1" applyAlignment="1">
      <alignment horizontal="left" wrapText="1"/>
    </xf>
    <xf numFmtId="49" fontId="8" fillId="2" borderId="15" xfId="2" applyNumberFormat="1" applyFont="1" applyFill="1" applyBorder="1" applyAlignment="1">
      <alignment horizontal="left"/>
    </xf>
    <xf numFmtId="49" fontId="4" fillId="0" borderId="46" xfId="3" applyNumberFormat="1" applyFont="1" applyFill="1" applyBorder="1" applyAlignment="1">
      <alignment horizontal="center"/>
    </xf>
    <xf numFmtId="49" fontId="4" fillId="0" borderId="39" xfId="3" applyNumberFormat="1" applyFont="1" applyFill="1" applyBorder="1" applyAlignment="1">
      <alignment horizontal="center"/>
    </xf>
    <xf numFmtId="2" fontId="4" fillId="0" borderId="50" xfId="0" applyNumberFormat="1" applyFont="1" applyFill="1" applyBorder="1" applyAlignment="1"/>
    <xf numFmtId="0" fontId="6" fillId="2" borderId="0" xfId="2" applyFont="1" applyFill="1" applyBorder="1" applyAlignment="1"/>
    <xf numFmtId="3" fontId="6" fillId="2" borderId="0" xfId="2" applyNumberFormat="1" applyFont="1" applyFill="1" applyBorder="1" applyAlignment="1"/>
    <xf numFmtId="164" fontId="6" fillId="2" borderId="0" xfId="2" applyNumberFormat="1" applyFont="1" applyFill="1" applyBorder="1" applyAlignment="1"/>
    <xf numFmtId="2" fontId="6" fillId="2" borderId="0" xfId="0" applyNumberFormat="1" applyFont="1" applyFill="1" applyBorder="1" applyAlignment="1"/>
    <xf numFmtId="49" fontId="4" fillId="0" borderId="0" xfId="3" applyNumberFormat="1" applyFont="1" applyFill="1" applyBorder="1" applyAlignment="1">
      <alignment horizontal="center"/>
    </xf>
    <xf numFmtId="0" fontId="4" fillId="0" borderId="0" xfId="0" applyFont="1" applyFill="1" applyBorder="1" applyAlignment="1">
      <alignment wrapText="1"/>
    </xf>
    <xf numFmtId="0" fontId="4" fillId="2" borderId="0" xfId="2" applyFont="1" applyFill="1" applyBorder="1" applyAlignment="1">
      <alignment wrapText="1"/>
    </xf>
    <xf numFmtId="2" fontId="4" fillId="0" borderId="0" xfId="0" applyNumberFormat="1" applyFont="1" applyFill="1" applyBorder="1" applyAlignment="1"/>
    <xf numFmtId="0" fontId="14" fillId="0" borderId="0" xfId="0" applyFont="1" applyFill="1" applyBorder="1" applyAlignment="1"/>
    <xf numFmtId="164" fontId="14" fillId="0" borderId="0" xfId="0" applyNumberFormat="1" applyFont="1" applyFill="1" applyBorder="1" applyAlignment="1"/>
    <xf numFmtId="0" fontId="4" fillId="0" borderId="39" xfId="0" applyFont="1" applyFill="1" applyBorder="1" applyAlignment="1">
      <alignment wrapText="1"/>
    </xf>
    <xf numFmtId="0" fontId="4" fillId="2" borderId="39" xfId="2" applyFont="1" applyFill="1" applyBorder="1" applyAlignment="1">
      <alignment wrapText="1"/>
    </xf>
    <xf numFmtId="0" fontId="13" fillId="0" borderId="0" xfId="0" applyFont="1" applyFill="1" applyBorder="1" applyAlignment="1">
      <alignment wrapText="1"/>
    </xf>
    <xf numFmtId="4" fontId="4" fillId="2" borderId="41" xfId="0" applyNumberFormat="1" applyFont="1" applyFill="1" applyBorder="1" applyAlignment="1">
      <alignment horizontal="right"/>
    </xf>
    <xf numFmtId="49" fontId="4" fillId="2" borderId="14" xfId="2" applyNumberFormat="1" applyFont="1" applyFill="1" applyBorder="1" applyAlignment="1">
      <alignment horizontal="center"/>
    </xf>
    <xf numFmtId="49" fontId="4" fillId="2" borderId="8" xfId="2" applyNumberFormat="1" applyFont="1" applyFill="1" applyBorder="1" applyAlignment="1">
      <alignment horizontal="center"/>
    </xf>
    <xf numFmtId="0" fontId="4" fillId="2" borderId="13" xfId="2" applyFont="1" applyFill="1" applyBorder="1" applyAlignment="1">
      <alignment horizontal="left"/>
    </xf>
    <xf numFmtId="0" fontId="4" fillId="2" borderId="15" xfId="2" applyFont="1" applyFill="1" applyBorder="1" applyAlignment="1">
      <alignment horizontal="left"/>
    </xf>
    <xf numFmtId="49" fontId="4" fillId="2" borderId="13" xfId="2" applyNumberFormat="1" applyFont="1" applyFill="1" applyBorder="1" applyAlignment="1">
      <alignment horizontal="center"/>
    </xf>
    <xf numFmtId="4" fontId="4" fillId="2" borderId="15" xfId="2" applyNumberFormat="1" applyFont="1" applyFill="1" applyBorder="1" applyAlignment="1">
      <alignment horizontal="right"/>
    </xf>
    <xf numFmtId="0" fontId="5" fillId="2" borderId="15" xfId="0" applyFont="1" applyFill="1" applyBorder="1" applyAlignment="1">
      <alignment horizontal="center"/>
    </xf>
    <xf numFmtId="0" fontId="14" fillId="0" borderId="0" xfId="0" applyFont="1"/>
    <xf numFmtId="4" fontId="14" fillId="0" borderId="0" xfId="0" applyNumberFormat="1" applyFont="1"/>
    <xf numFmtId="164" fontId="14" fillId="0" borderId="0" xfId="0" applyNumberFormat="1" applyFont="1"/>
    <xf numFmtId="3" fontId="14" fillId="0" borderId="0" xfId="0" applyNumberFormat="1" applyFont="1"/>
    <xf numFmtId="3" fontId="6" fillId="0" borderId="26" xfId="3" applyNumberFormat="1" applyFont="1" applyBorder="1" applyAlignment="1">
      <alignment vertical="top" wrapText="1"/>
    </xf>
    <xf numFmtId="164" fontId="6" fillId="0" borderId="26" xfId="3" applyNumberFormat="1" applyFont="1" applyBorder="1" applyAlignment="1">
      <alignment vertical="top" wrapText="1"/>
    </xf>
    <xf numFmtId="0" fontId="6" fillId="0" borderId="26" xfId="3" applyFont="1" applyBorder="1" applyAlignment="1">
      <alignment horizontal="center" wrapText="1"/>
    </xf>
    <xf numFmtId="0" fontId="6" fillId="2" borderId="26" xfId="2" applyFont="1" applyFill="1" applyBorder="1"/>
    <xf numFmtId="0" fontId="17" fillId="2" borderId="26" xfId="0" applyFont="1" applyFill="1" applyBorder="1"/>
    <xf numFmtId="0" fontId="17" fillId="0" borderId="0" xfId="0" applyFont="1"/>
    <xf numFmtId="4" fontId="6" fillId="2" borderId="0" xfId="0" applyNumberFormat="1" applyFont="1" applyFill="1" applyAlignment="1">
      <alignment vertical="top"/>
    </xf>
    <xf numFmtId="4" fontId="6" fillId="2" borderId="0" xfId="2" applyNumberFormat="1" applyFont="1" applyFill="1" applyAlignment="1">
      <alignment vertical="top"/>
    </xf>
    <xf numFmtId="3" fontId="6" fillId="2" borderId="0" xfId="0" applyNumberFormat="1" applyFont="1" applyFill="1" applyAlignment="1">
      <alignment vertical="top"/>
    </xf>
    <xf numFmtId="164" fontId="6" fillId="2" borderId="0" xfId="0" applyNumberFormat="1" applyFont="1" applyFill="1" applyAlignment="1">
      <alignment vertical="top"/>
    </xf>
    <xf numFmtId="0" fontId="6" fillId="2" borderId="0" xfId="0" applyFont="1" applyFill="1"/>
    <xf numFmtId="2" fontId="6" fillId="2" borderId="48" xfId="0" applyNumberFormat="1" applyFont="1" applyFill="1" applyBorder="1"/>
    <xf numFmtId="49" fontId="6" fillId="0" borderId="25" xfId="3" applyNumberFormat="1" applyFont="1" applyBorder="1" applyAlignment="1">
      <alignment horizontal="left"/>
    </xf>
    <xf numFmtId="2" fontId="8" fillId="2" borderId="49" xfId="0" applyNumberFormat="1" applyFont="1" applyFill="1" applyBorder="1"/>
    <xf numFmtId="0" fontId="8" fillId="2" borderId="15" xfId="0" applyFont="1" applyFill="1" applyBorder="1"/>
    <xf numFmtId="49" fontId="8" fillId="2" borderId="20" xfId="0" applyNumberFormat="1" applyFont="1" applyFill="1" applyBorder="1"/>
    <xf numFmtId="0" fontId="6" fillId="0" borderId="41" xfId="0" applyFont="1" applyBorder="1" applyAlignment="1">
      <alignment horizontal="center"/>
    </xf>
    <xf numFmtId="0" fontId="6" fillId="0" borderId="16" xfId="0" applyFont="1" applyBorder="1" applyAlignment="1">
      <alignment horizontal="center"/>
    </xf>
    <xf numFmtId="0" fontId="6" fillId="0" borderId="15" xfId="0" applyFont="1" applyBorder="1" applyAlignment="1">
      <alignment horizontal="center"/>
    </xf>
    <xf numFmtId="14" fontId="6" fillId="0" borderId="15" xfId="0" applyNumberFormat="1" applyFont="1" applyBorder="1" applyAlignment="1">
      <alignment horizontal="center"/>
    </xf>
    <xf numFmtId="49" fontId="6" fillId="2" borderId="10" xfId="0" applyNumberFormat="1" applyFont="1" applyFill="1" applyBorder="1"/>
    <xf numFmtId="0" fontId="6" fillId="2" borderId="10" xfId="0" applyFont="1" applyFill="1" applyBorder="1"/>
    <xf numFmtId="0" fontId="8" fillId="0" borderId="7" xfId="0" applyFont="1" applyBorder="1" applyAlignment="1">
      <alignment horizontal="center"/>
    </xf>
    <xf numFmtId="0" fontId="8" fillId="2" borderId="2" xfId="0" applyFont="1" applyFill="1" applyBorder="1"/>
    <xf numFmtId="0" fontId="6" fillId="2" borderId="36" xfId="0" applyFont="1" applyFill="1" applyBorder="1"/>
    <xf numFmtId="4" fontId="4" fillId="2" borderId="41" xfId="0" applyNumberFormat="1" applyFont="1" applyFill="1" applyBorder="1"/>
    <xf numFmtId="0" fontId="4" fillId="2" borderId="15" xfId="0" applyFont="1" applyFill="1" applyBorder="1"/>
    <xf numFmtId="0" fontId="4" fillId="2" borderId="12" xfId="0" applyFont="1" applyFill="1" applyBorder="1"/>
    <xf numFmtId="0" fontId="4" fillId="2" borderId="13" xfId="0" applyFont="1" applyFill="1" applyBorder="1"/>
    <xf numFmtId="0" fontId="4" fillId="2" borderId="20" xfId="0" applyFont="1" applyFill="1" applyBorder="1"/>
    <xf numFmtId="4" fontId="8" fillId="2" borderId="41" xfId="0" applyNumberFormat="1" applyFont="1" applyFill="1" applyBorder="1"/>
    <xf numFmtId="3" fontId="8" fillId="2" borderId="15" xfId="0" applyNumberFormat="1" applyFont="1" applyFill="1" applyBorder="1"/>
    <xf numFmtId="164" fontId="8" fillId="2" borderId="15" xfId="0" applyNumberFormat="1" applyFont="1" applyFill="1" applyBorder="1"/>
    <xf numFmtId="0" fontId="4" fillId="2" borderId="16" xfId="0" applyFont="1" applyFill="1" applyBorder="1"/>
    <xf numFmtId="4" fontId="4" fillId="2" borderId="55" xfId="0" applyNumberFormat="1" applyFont="1" applyFill="1" applyBorder="1"/>
    <xf numFmtId="0" fontId="4" fillId="2" borderId="18" xfId="0" applyFont="1" applyFill="1" applyBorder="1"/>
    <xf numFmtId="4" fontId="4" fillId="2" borderId="49" xfId="0" applyNumberFormat="1" applyFont="1" applyFill="1" applyBorder="1"/>
    <xf numFmtId="0" fontId="4" fillId="2" borderId="21" xfId="0" applyFont="1" applyFill="1" applyBorder="1"/>
    <xf numFmtId="0" fontId="8" fillId="2" borderId="20" xfId="0" applyFont="1" applyFill="1" applyBorder="1"/>
    <xf numFmtId="0" fontId="8" fillId="2" borderId="4" xfId="0" applyFont="1" applyFill="1" applyBorder="1"/>
    <xf numFmtId="0" fontId="4" fillId="2" borderId="19" xfId="0" applyFont="1" applyFill="1" applyBorder="1"/>
    <xf numFmtId="0" fontId="4" fillId="2" borderId="9" xfId="0" applyFont="1" applyFill="1" applyBorder="1"/>
    <xf numFmtId="0" fontId="4" fillId="2" borderId="23" xfId="0" applyFont="1" applyFill="1" applyBorder="1"/>
    <xf numFmtId="0" fontId="8" fillId="2" borderId="10" xfId="0" applyFont="1" applyFill="1" applyBorder="1"/>
    <xf numFmtId="0" fontId="8" fillId="2" borderId="16" xfId="0" applyFont="1" applyFill="1" applyBorder="1"/>
    <xf numFmtId="4" fontId="4" fillId="0" borderId="49" xfId="0" applyNumberFormat="1" applyFont="1" applyBorder="1"/>
    <xf numFmtId="0" fontId="4" fillId="0" borderId="19" xfId="0" applyFont="1" applyBorder="1"/>
    <xf numFmtId="0" fontId="4" fillId="0" borderId="20" xfId="0" applyFont="1" applyBorder="1" applyAlignment="1">
      <alignment horizontal="left"/>
    </xf>
    <xf numFmtId="49" fontId="4" fillId="0" borderId="20" xfId="0" applyNumberFormat="1" applyFont="1" applyBorder="1" applyAlignment="1">
      <alignment horizontal="center"/>
    </xf>
    <xf numFmtId="49" fontId="8" fillId="0" borderId="11" xfId="0" applyNumberFormat="1" applyFont="1" applyBorder="1" applyAlignment="1">
      <alignment horizontal="center"/>
    </xf>
    <xf numFmtId="4" fontId="4" fillId="2" borderId="21" xfId="2" applyNumberFormat="1" applyFont="1" applyFill="1" applyBorder="1"/>
    <xf numFmtId="4" fontId="4" fillId="2" borderId="34" xfId="0" applyNumberFormat="1" applyFont="1" applyFill="1" applyBorder="1"/>
    <xf numFmtId="4" fontId="4" fillId="2" borderId="12" xfId="2" applyNumberFormat="1" applyFont="1" applyFill="1" applyBorder="1"/>
    <xf numFmtId="0" fontId="4" fillId="2" borderId="22" xfId="0" applyFont="1" applyFill="1" applyBorder="1"/>
    <xf numFmtId="3" fontId="4" fillId="2" borderId="15" xfId="0" applyNumberFormat="1" applyFont="1" applyFill="1" applyBorder="1"/>
    <xf numFmtId="164" fontId="4" fillId="2" borderId="15" xfId="0" applyNumberFormat="1" applyFont="1" applyFill="1" applyBorder="1"/>
    <xf numFmtId="4" fontId="8" fillId="2" borderId="49" xfId="0" applyNumberFormat="1" applyFont="1" applyFill="1" applyBorder="1"/>
    <xf numFmtId="4" fontId="8" fillId="2" borderId="21" xfId="2" applyNumberFormat="1" applyFont="1" applyFill="1" applyBorder="1"/>
    <xf numFmtId="0" fontId="8" fillId="2" borderId="22" xfId="0" applyFont="1" applyFill="1" applyBorder="1"/>
    <xf numFmtId="4" fontId="17" fillId="2" borderId="56" xfId="0" applyNumberFormat="1" applyFont="1" applyFill="1" applyBorder="1"/>
    <xf numFmtId="4" fontId="16" fillId="2" borderId="57" xfId="0" applyNumberFormat="1" applyFont="1" applyFill="1" applyBorder="1"/>
    <xf numFmtId="0" fontId="16" fillId="2" borderId="2" xfId="0" applyFont="1" applyFill="1" applyBorder="1"/>
    <xf numFmtId="49" fontId="6" fillId="2" borderId="9" xfId="0" applyNumberFormat="1" applyFont="1" applyFill="1" applyBorder="1"/>
    <xf numFmtId="0" fontId="8" fillId="2" borderId="0" xfId="0" applyFont="1" applyFill="1" applyAlignment="1">
      <alignment horizontal="center"/>
    </xf>
    <xf numFmtId="4" fontId="17" fillId="0" borderId="0" xfId="0" applyNumberFormat="1" applyFont="1"/>
    <xf numFmtId="0" fontId="6" fillId="0" borderId="0" xfId="0" applyFont="1"/>
    <xf numFmtId="0" fontId="8" fillId="0" borderId="0" xfId="0" applyFont="1"/>
    <xf numFmtId="0" fontId="8" fillId="0" borderId="0" xfId="0" applyFont="1" applyAlignment="1">
      <alignment wrapText="1"/>
    </xf>
    <xf numFmtId="0" fontId="8" fillId="0" borderId="27" xfId="0" applyFont="1" applyBorder="1" applyAlignment="1">
      <alignment horizontal="center"/>
    </xf>
    <xf numFmtId="0" fontId="8" fillId="0" borderId="28" xfId="0" applyFont="1" applyBorder="1" applyAlignment="1">
      <alignment horizontal="center"/>
    </xf>
    <xf numFmtId="0" fontId="8" fillId="0" borderId="2" xfId="0" applyFont="1" applyBorder="1" applyAlignment="1">
      <alignment wrapText="1"/>
    </xf>
    <xf numFmtId="4" fontId="8" fillId="0" borderId="2" xfId="0" applyNumberFormat="1" applyFont="1" applyBorder="1" applyAlignment="1">
      <alignment horizontal="center"/>
    </xf>
    <xf numFmtId="4" fontId="8" fillId="0" borderId="60" xfId="0" applyNumberFormat="1" applyFont="1" applyBorder="1" applyAlignment="1">
      <alignment horizontal="center"/>
    </xf>
    <xf numFmtId="0" fontId="8" fillId="0" borderId="29" xfId="0" applyFont="1" applyBorder="1" applyAlignment="1">
      <alignment horizontal="center"/>
    </xf>
    <xf numFmtId="0" fontId="8" fillId="0" borderId="0" xfId="0" applyFont="1" applyAlignment="1">
      <alignment horizontal="center"/>
    </xf>
    <xf numFmtId="49" fontId="8" fillId="0" borderId="4" xfId="0" applyNumberFormat="1" applyFont="1" applyBorder="1" applyAlignment="1">
      <alignment horizontal="center" wrapText="1"/>
    </xf>
    <xf numFmtId="4" fontId="8" fillId="0" borderId="4" xfId="0" applyNumberFormat="1" applyFont="1" applyBorder="1" applyAlignment="1">
      <alignment horizontal="center"/>
    </xf>
    <xf numFmtId="4" fontId="8" fillId="0" borderId="61" xfId="0" applyNumberFormat="1" applyFont="1" applyBorder="1" applyAlignment="1">
      <alignment horizontal="center"/>
    </xf>
    <xf numFmtId="0" fontId="8" fillId="0" borderId="30" xfId="0" applyFont="1" applyBorder="1" applyAlignment="1">
      <alignment horizontal="center"/>
    </xf>
    <xf numFmtId="0" fontId="8" fillId="0" borderId="31" xfId="0" applyFont="1" applyBorder="1" applyAlignment="1">
      <alignment horizontal="center"/>
    </xf>
    <xf numFmtId="49" fontId="8" fillId="0" borderId="7" xfId="0" applyNumberFormat="1" applyFont="1" applyBorder="1" applyAlignment="1">
      <alignment horizontal="center" wrapText="1"/>
    </xf>
    <xf numFmtId="4" fontId="8" fillId="0" borderId="7" xfId="0" applyNumberFormat="1" applyFont="1" applyBorder="1" applyAlignment="1">
      <alignment horizontal="center"/>
    </xf>
    <xf numFmtId="4" fontId="8" fillId="0" borderId="59" xfId="0" applyNumberFormat="1" applyFont="1" applyBorder="1" applyAlignment="1">
      <alignment horizontal="center"/>
    </xf>
    <xf numFmtId="0" fontId="6" fillId="0" borderId="33" xfId="0" applyFont="1" applyBorder="1" applyAlignment="1">
      <alignment horizontal="center"/>
    </xf>
    <xf numFmtId="0" fontId="6" fillId="0" borderId="32" xfId="0" applyFont="1" applyBorder="1" applyAlignment="1">
      <alignment horizontal="center"/>
    </xf>
    <xf numFmtId="49" fontId="6" fillId="0" borderId="33" xfId="0" applyNumberFormat="1" applyFont="1" applyBorder="1" applyAlignment="1">
      <alignment wrapText="1"/>
    </xf>
    <xf numFmtId="0" fontId="17" fillId="0" borderId="32" xfId="0" applyFont="1" applyBorder="1"/>
    <xf numFmtId="0" fontId="17" fillId="2" borderId="32" xfId="0" applyFont="1" applyFill="1" applyBorder="1"/>
    <xf numFmtId="4" fontId="17" fillId="0" borderId="53" xfId="0" applyNumberFormat="1" applyFont="1" applyBorder="1"/>
    <xf numFmtId="4" fontId="17" fillId="0" borderId="56" xfId="0" applyNumberFormat="1" applyFont="1" applyBorder="1"/>
    <xf numFmtId="49" fontId="8" fillId="0" borderId="4" xfId="2" applyNumberFormat="1" applyFont="1" applyBorder="1" applyAlignment="1">
      <alignment horizontal="left"/>
    </xf>
    <xf numFmtId="0" fontId="8" fillId="0" borderId="17" xfId="2" applyFont="1" applyBorder="1"/>
    <xf numFmtId="49" fontId="8" fillId="0" borderId="15" xfId="2" applyNumberFormat="1" applyFont="1" applyBorder="1" applyAlignment="1">
      <alignment wrapText="1"/>
    </xf>
    <xf numFmtId="4" fontId="8" fillId="0" borderId="21" xfId="2" applyNumberFormat="1" applyFont="1" applyBorder="1"/>
    <xf numFmtId="4" fontId="8" fillId="0" borderId="49" xfId="0" applyNumberFormat="1" applyFont="1" applyBorder="1"/>
    <xf numFmtId="0" fontId="8" fillId="0" borderId="20" xfId="2" applyFont="1" applyBorder="1" applyAlignment="1">
      <alignment horizontal="center"/>
    </xf>
    <xf numFmtId="0" fontId="4" fillId="0" borderId="20" xfId="2" applyFont="1" applyBorder="1"/>
    <xf numFmtId="0" fontId="4" fillId="0" borderId="15" xfId="2" applyFont="1" applyBorder="1" applyAlignment="1">
      <alignment wrapText="1"/>
    </xf>
    <xf numFmtId="4" fontId="4" fillId="0" borderId="21" xfId="2" applyNumberFormat="1" applyFont="1" applyBorder="1"/>
    <xf numFmtId="0" fontId="8" fillId="0" borderId="15" xfId="2" applyFont="1" applyBorder="1" applyAlignment="1">
      <alignment horizontal="center"/>
    </xf>
    <xf numFmtId="0" fontId="4" fillId="0" borderId="10" xfId="2" applyFont="1" applyBorder="1" applyAlignment="1">
      <alignment wrapText="1"/>
    </xf>
    <xf numFmtId="164" fontId="4" fillId="2" borderId="20" xfId="2" applyNumberFormat="1" applyFont="1" applyFill="1" applyBorder="1"/>
    <xf numFmtId="3" fontId="4" fillId="2" borderId="20" xfId="2" applyNumberFormat="1" applyFont="1" applyFill="1" applyBorder="1"/>
    <xf numFmtId="0" fontId="4" fillId="0" borderId="10" xfId="2" applyFont="1" applyBorder="1"/>
    <xf numFmtId="0" fontId="19" fillId="0" borderId="0" xfId="0" applyFont="1"/>
    <xf numFmtId="0" fontId="18" fillId="0" borderId="0" xfId="0" applyFont="1"/>
    <xf numFmtId="0" fontId="8" fillId="0" borderId="16" xfId="2" applyFont="1" applyBorder="1" applyAlignment="1">
      <alignment horizontal="center"/>
    </xf>
    <xf numFmtId="49" fontId="8" fillId="0" borderId="11" xfId="2" applyNumberFormat="1" applyFont="1" applyBorder="1" applyAlignment="1">
      <alignment horizontal="center"/>
    </xf>
    <xf numFmtId="0" fontId="8" fillId="0" borderId="20" xfId="2" applyFont="1" applyBorder="1" applyAlignment="1">
      <alignment wrapText="1"/>
    </xf>
    <xf numFmtId="49" fontId="4" fillId="0" borderId="4" xfId="2" applyNumberFormat="1" applyFont="1" applyBorder="1" applyAlignment="1">
      <alignment horizontal="left"/>
    </xf>
    <xf numFmtId="0" fontId="4" fillId="0" borderId="4" xfId="2" applyFont="1" applyBorder="1" applyAlignment="1">
      <alignment horizontal="left"/>
    </xf>
    <xf numFmtId="0" fontId="4" fillId="0" borderId="4" xfId="2" applyFont="1" applyBorder="1" applyAlignment="1">
      <alignment wrapText="1"/>
    </xf>
    <xf numFmtId="0" fontId="6" fillId="0" borderId="26" xfId="2" applyFont="1" applyBorder="1" applyAlignment="1">
      <alignment wrapText="1"/>
    </xf>
    <xf numFmtId="4" fontId="6" fillId="0" borderId="37" xfId="2" applyNumberFormat="1" applyFont="1" applyBorder="1" applyAlignment="1">
      <alignment vertical="top"/>
    </xf>
    <xf numFmtId="4" fontId="6" fillId="0" borderId="48" xfId="0" applyNumberFormat="1" applyFont="1" applyBorder="1" applyAlignment="1">
      <alignment vertical="top"/>
    </xf>
    <xf numFmtId="0" fontId="8" fillId="0" borderId="0" xfId="2" applyFont="1"/>
    <xf numFmtId="0" fontId="8" fillId="0" borderId="0" xfId="2" applyFont="1" applyAlignment="1">
      <alignment wrapText="1"/>
    </xf>
    <xf numFmtId="0" fontId="8" fillId="2" borderId="0" xfId="0" applyFont="1" applyFill="1" applyAlignment="1">
      <alignment horizontal="center" wrapText="1"/>
    </xf>
    <xf numFmtId="4" fontId="4" fillId="0" borderId="0" xfId="0" applyNumberFormat="1" applyFont="1" applyAlignment="1">
      <alignment horizontal="center" wrapText="1"/>
    </xf>
    <xf numFmtId="0" fontId="8" fillId="0" borderId="1" xfId="0" applyFont="1" applyBorder="1" applyAlignment="1">
      <alignment horizontal="center"/>
    </xf>
    <xf numFmtId="0" fontId="8" fillId="0" borderId="2" xfId="0" applyFont="1" applyBorder="1" applyAlignment="1">
      <alignment horizontal="center" wrapText="1"/>
    </xf>
    <xf numFmtId="0" fontId="8" fillId="0" borderId="3" xfId="0" applyFont="1" applyBorder="1" applyAlignment="1">
      <alignment horizontal="center"/>
    </xf>
    <xf numFmtId="0" fontId="8" fillId="0" borderId="4" xfId="0" applyFont="1" applyBorder="1" applyAlignment="1">
      <alignment horizontal="center" wrapText="1"/>
    </xf>
    <xf numFmtId="0" fontId="6" fillId="0" borderId="51" xfId="0" applyFont="1" applyBorder="1" applyAlignment="1">
      <alignment horizontal="left"/>
    </xf>
    <xf numFmtId="0" fontId="6" fillId="0" borderId="33" xfId="0" applyFont="1" applyBorder="1"/>
    <xf numFmtId="14" fontId="6" fillId="2" borderId="33" xfId="0" applyNumberFormat="1" applyFont="1" applyFill="1" applyBorder="1" applyAlignment="1">
      <alignment horizontal="center"/>
    </xf>
    <xf numFmtId="4" fontId="16" fillId="0" borderId="52" xfId="0" applyNumberFormat="1" applyFont="1" applyBorder="1" applyAlignment="1">
      <alignment horizontal="center"/>
    </xf>
    <xf numFmtId="4" fontId="16" fillId="0" borderId="56" xfId="0" applyNumberFormat="1" applyFont="1" applyBorder="1" applyAlignment="1">
      <alignment horizontal="center"/>
    </xf>
    <xf numFmtId="49" fontId="8" fillId="0" borderId="20" xfId="2" applyNumberFormat="1" applyFont="1" applyBorder="1" applyAlignment="1">
      <alignment horizontal="left"/>
    </xf>
    <xf numFmtId="0" fontId="8" fillId="0" borderId="20" xfId="2" applyFont="1" applyBorder="1"/>
    <xf numFmtId="49" fontId="8" fillId="0" borderId="20" xfId="0" applyNumberFormat="1" applyFont="1" applyBorder="1" applyAlignment="1">
      <alignment wrapText="1"/>
    </xf>
    <xf numFmtId="49" fontId="4" fillId="0" borderId="20" xfId="2" applyNumberFormat="1" applyFont="1" applyBorder="1" applyAlignment="1">
      <alignment horizontal="center"/>
    </xf>
    <xf numFmtId="0" fontId="4" fillId="0" borderId="20" xfId="3" applyFont="1" applyBorder="1" applyAlignment="1">
      <alignment horizontal="left" wrapText="1"/>
    </xf>
    <xf numFmtId="0" fontId="13" fillId="0" borderId="20" xfId="3" applyFont="1" applyBorder="1" applyAlignment="1">
      <alignment wrapText="1"/>
    </xf>
    <xf numFmtId="0" fontId="4" fillId="0" borderId="20" xfId="3" applyFont="1" applyBorder="1" applyAlignment="1">
      <alignment horizontal="justify" wrapText="1"/>
    </xf>
    <xf numFmtId="0" fontId="4" fillId="0" borderId="20" xfId="0" applyFont="1" applyBorder="1" applyAlignment="1">
      <alignment wrapText="1"/>
    </xf>
    <xf numFmtId="49" fontId="4" fillId="0" borderId="11" xfId="2" applyNumberFormat="1" applyFont="1" applyBorder="1" applyAlignment="1">
      <alignment horizontal="center"/>
    </xf>
    <xf numFmtId="49" fontId="4" fillId="0" borderId="39" xfId="2" applyNumberFormat="1" applyFont="1" applyBorder="1" applyAlignment="1">
      <alignment horizontal="center"/>
    </xf>
    <xf numFmtId="0" fontId="4" fillId="0" borderId="39" xfId="3" applyFont="1" applyBorder="1" applyAlignment="1">
      <alignment horizontal="justify" wrapText="1"/>
    </xf>
    <xf numFmtId="0" fontId="13" fillId="0" borderId="39" xfId="3" applyFont="1" applyBorder="1" applyAlignment="1">
      <alignment wrapText="1"/>
    </xf>
    <xf numFmtId="4" fontId="4" fillId="2" borderId="40" xfId="2" applyNumberFormat="1" applyFont="1" applyFill="1" applyBorder="1"/>
    <xf numFmtId="4" fontId="4" fillId="0" borderId="50" xfId="0" applyNumberFormat="1" applyFont="1" applyBorder="1"/>
    <xf numFmtId="49" fontId="4" fillId="0" borderId="0" xfId="2" applyNumberFormat="1" applyFont="1" applyAlignment="1">
      <alignment horizontal="center"/>
    </xf>
    <xf numFmtId="0" fontId="4" fillId="0" borderId="0" xfId="3" applyFont="1" applyAlignment="1">
      <alignment horizontal="justify" wrapText="1"/>
    </xf>
    <xf numFmtId="0" fontId="13" fillId="0" borderId="0" xfId="3" applyFont="1" applyAlignment="1">
      <alignment wrapText="1"/>
    </xf>
    <xf numFmtId="164" fontId="4" fillId="2" borderId="0" xfId="3" applyNumberFormat="1" applyFont="1" applyFill="1"/>
    <xf numFmtId="3" fontId="14" fillId="2" borderId="0" xfId="0" applyNumberFormat="1" applyFont="1" applyFill="1"/>
    <xf numFmtId="4" fontId="4" fillId="0" borderId="0" xfId="2" applyNumberFormat="1" applyFont="1"/>
    <xf numFmtId="4" fontId="4" fillId="0" borderId="0" xfId="0" applyNumberFormat="1" applyFont="1"/>
    <xf numFmtId="0" fontId="8" fillId="0" borderId="6" xfId="0" applyFont="1" applyBorder="1" applyAlignment="1">
      <alignment horizontal="center"/>
    </xf>
    <xf numFmtId="0" fontId="8" fillId="0" borderId="7" xfId="0" applyFont="1" applyBorder="1" applyAlignment="1">
      <alignment horizontal="center" wrapText="1"/>
    </xf>
    <xf numFmtId="49" fontId="4" fillId="0" borderId="15" xfId="2" applyNumberFormat="1" applyFont="1" applyBorder="1" applyAlignment="1">
      <alignment horizontal="center"/>
    </xf>
    <xf numFmtId="0" fontId="4" fillId="0" borderId="33" xfId="3" applyFont="1" applyBorder="1" applyAlignment="1">
      <alignment horizontal="justify" wrapText="1"/>
    </xf>
    <xf numFmtId="0" fontId="13" fillId="0" borderId="10" xfId="3" applyFont="1" applyBorder="1" applyAlignment="1">
      <alignment wrapText="1"/>
    </xf>
    <xf numFmtId="4" fontId="4" fillId="0" borderId="16" xfId="2" applyNumberFormat="1" applyFont="1" applyBorder="1"/>
    <xf numFmtId="4" fontId="4" fillId="0" borderId="41" xfId="0" applyNumberFormat="1" applyFont="1" applyBorder="1"/>
    <xf numFmtId="0" fontId="13" fillId="0" borderId="19" xfId="3" applyFont="1" applyBorder="1" applyAlignment="1">
      <alignment wrapText="1"/>
    </xf>
    <xf numFmtId="49" fontId="4" fillId="0" borderId="12" xfId="2" applyNumberFormat="1" applyFont="1" applyBorder="1" applyAlignment="1">
      <alignment horizontal="center"/>
    </xf>
    <xf numFmtId="0" fontId="4" fillId="0" borderId="13" xfId="3" applyFont="1" applyBorder="1" applyAlignment="1">
      <alignment horizontal="justify" wrapText="1"/>
    </xf>
    <xf numFmtId="4" fontId="4" fillId="0" borderId="20" xfId="2" applyNumberFormat="1" applyFont="1" applyBorder="1" applyAlignment="1">
      <alignment horizontal="right"/>
    </xf>
    <xf numFmtId="0" fontId="4" fillId="0" borderId="4" xfId="3" applyFont="1" applyBorder="1" applyAlignment="1">
      <alignment horizontal="left" wrapText="1"/>
    </xf>
    <xf numFmtId="0" fontId="13" fillId="0" borderId="22" xfId="3" applyFont="1" applyBorder="1" applyAlignment="1">
      <alignment wrapText="1"/>
    </xf>
    <xf numFmtId="4" fontId="4" fillId="0" borderId="13" xfId="2" applyNumberFormat="1" applyFont="1" applyBorder="1" applyAlignment="1">
      <alignment horizontal="right"/>
    </xf>
    <xf numFmtId="4" fontId="4" fillId="0" borderId="34" xfId="0" applyNumberFormat="1" applyFont="1" applyBorder="1"/>
    <xf numFmtId="49" fontId="4" fillId="0" borderId="19" xfId="2" applyNumberFormat="1" applyFont="1" applyBorder="1" applyAlignment="1">
      <alignment horizontal="center"/>
    </xf>
    <xf numFmtId="0" fontId="4" fillId="2" borderId="20" xfId="3" applyFont="1" applyFill="1" applyBorder="1" applyAlignment="1">
      <alignment vertical="center" wrapText="1"/>
    </xf>
    <xf numFmtId="4" fontId="4" fillId="0" borderId="4" xfId="2" applyNumberFormat="1" applyFont="1" applyBorder="1" applyAlignment="1">
      <alignment horizontal="right"/>
    </xf>
    <xf numFmtId="49" fontId="6" fillId="0" borderId="24" xfId="3" applyNumberFormat="1" applyFont="1" applyBorder="1" applyAlignment="1">
      <alignment horizontal="left"/>
    </xf>
    <xf numFmtId="0" fontId="6" fillId="0" borderId="35" xfId="3" applyFont="1" applyBorder="1" applyAlignment="1">
      <alignment horizontal="center" wrapText="1"/>
    </xf>
    <xf numFmtId="0" fontId="16" fillId="0" borderId="35" xfId="3" applyFont="1" applyBorder="1"/>
    <xf numFmtId="0" fontId="17" fillId="0" borderId="0" xfId="0" applyFont="1" applyAlignment="1">
      <alignment wrapText="1"/>
    </xf>
    <xf numFmtId="0" fontId="17" fillId="0" borderId="0" xfId="0" applyFont="1" applyAlignment="1">
      <alignment vertical="top"/>
    </xf>
    <xf numFmtId="164" fontId="17" fillId="2" borderId="0" xfId="0" applyNumberFormat="1" applyFont="1" applyFill="1" applyAlignment="1">
      <alignment vertical="top"/>
    </xf>
    <xf numFmtId="4" fontId="6" fillId="0" borderId="21" xfId="2" applyNumberFormat="1" applyFont="1" applyBorder="1" applyAlignment="1">
      <alignment vertical="top"/>
    </xf>
    <xf numFmtId="4" fontId="22" fillId="0" borderId="0" xfId="0" applyNumberFormat="1" applyFont="1" applyAlignment="1">
      <alignment vertical="top"/>
    </xf>
    <xf numFmtId="3" fontId="6" fillId="0" borderId="26" xfId="3" applyNumberFormat="1" applyFont="1" applyBorder="1" applyAlignment="1">
      <alignment horizontal="right" vertical="top" wrapText="1"/>
    </xf>
    <xf numFmtId="4" fontId="6" fillId="0" borderId="35" xfId="2" applyNumberFormat="1" applyFont="1" applyBorder="1" applyAlignment="1">
      <alignment vertical="top"/>
    </xf>
    <xf numFmtId="0" fontId="14" fillId="0" borderId="0" xfId="0" applyFont="1" applyAlignment="1">
      <alignment wrapText="1"/>
    </xf>
    <xf numFmtId="0" fontId="14" fillId="2" borderId="0" xfId="0" applyFont="1" applyFill="1"/>
    <xf numFmtId="0" fontId="6" fillId="2" borderId="0" xfId="0" applyFont="1" applyFill="1" applyAlignment="1">
      <alignment horizontal="left"/>
    </xf>
    <xf numFmtId="0" fontId="17" fillId="2" borderId="0" xfId="0" applyFont="1" applyFill="1"/>
    <xf numFmtId="0" fontId="4" fillId="2" borderId="2" xfId="0" applyFont="1" applyFill="1" applyBorder="1"/>
    <xf numFmtId="0" fontId="6" fillId="2" borderId="51" xfId="0" applyFont="1" applyFill="1" applyBorder="1"/>
    <xf numFmtId="49" fontId="16" fillId="2" borderId="52" xfId="0" applyNumberFormat="1" applyFont="1" applyFill="1" applyBorder="1"/>
    <xf numFmtId="0" fontId="17" fillId="2" borderId="53" xfId="0" applyFont="1" applyFill="1" applyBorder="1"/>
    <xf numFmtId="0" fontId="17" fillId="2" borderId="56" xfId="0" applyFont="1" applyFill="1" applyBorder="1"/>
    <xf numFmtId="0" fontId="8" fillId="2" borderId="21" xfId="0" applyFont="1" applyFill="1" applyBorder="1"/>
    <xf numFmtId="2" fontId="14" fillId="2" borderId="0" xfId="0" applyNumberFormat="1" applyFont="1" applyFill="1"/>
    <xf numFmtId="0" fontId="5" fillId="2" borderId="20" xfId="0" applyFont="1" applyFill="1" applyBorder="1"/>
    <xf numFmtId="0" fontId="5" fillId="2" borderId="21" xfId="0" applyFont="1" applyFill="1" applyBorder="1"/>
    <xf numFmtId="0" fontId="5" fillId="2" borderId="13" xfId="0" applyFont="1" applyFill="1" applyBorder="1"/>
    <xf numFmtId="0" fontId="5" fillId="2" borderId="15" xfId="0" applyFont="1" applyFill="1" applyBorder="1"/>
    <xf numFmtId="0" fontId="5" fillId="2" borderId="16" xfId="0" applyFont="1" applyFill="1" applyBorder="1"/>
    <xf numFmtId="0" fontId="5" fillId="2" borderId="19" xfId="0" applyFont="1" applyFill="1" applyBorder="1"/>
    <xf numFmtId="0" fontId="5" fillId="2" borderId="22" xfId="0" applyFont="1" applyFill="1" applyBorder="1"/>
    <xf numFmtId="0" fontId="5" fillId="2" borderId="12" xfId="0" applyFont="1" applyFill="1" applyBorder="1"/>
    <xf numFmtId="3" fontId="4" fillId="2" borderId="13" xfId="0" applyNumberFormat="1" applyFont="1" applyFill="1" applyBorder="1"/>
    <xf numFmtId="4" fontId="4" fillId="2" borderId="13" xfId="2" applyNumberFormat="1" applyFont="1" applyFill="1" applyBorder="1"/>
    <xf numFmtId="0" fontId="8" fillId="2" borderId="19" xfId="0" applyFont="1" applyFill="1" applyBorder="1"/>
    <xf numFmtId="0" fontId="9" fillId="2" borderId="19" xfId="0" applyFont="1" applyFill="1" applyBorder="1"/>
    <xf numFmtId="0" fontId="9" fillId="2" borderId="17" xfId="0" applyFont="1" applyFill="1" applyBorder="1"/>
    <xf numFmtId="0" fontId="5" fillId="2" borderId="23" xfId="0" applyFont="1" applyFill="1" applyBorder="1"/>
    <xf numFmtId="0" fontId="9" fillId="2" borderId="42" xfId="0" applyFont="1" applyFill="1" applyBorder="1"/>
    <xf numFmtId="4" fontId="4" fillId="2" borderId="50" xfId="0" applyNumberFormat="1" applyFont="1" applyFill="1" applyBorder="1"/>
    <xf numFmtId="49" fontId="9" fillId="2" borderId="0" xfId="0" applyNumberFormat="1" applyFont="1" applyFill="1" applyAlignment="1">
      <alignment horizontal="center"/>
    </xf>
    <xf numFmtId="0" fontId="5" fillId="2" borderId="0" xfId="0" applyFont="1" applyFill="1" applyAlignment="1">
      <alignment horizontal="center"/>
    </xf>
    <xf numFmtId="0" fontId="9" fillId="2" borderId="0" xfId="0" applyFont="1" applyFill="1"/>
    <xf numFmtId="0" fontId="5" fillId="2" borderId="0" xfId="0" applyFont="1" applyFill="1" applyAlignment="1">
      <alignment horizontal="left"/>
    </xf>
    <xf numFmtId="3" fontId="4" fillId="2" borderId="0" xfId="0" applyNumberFormat="1" applyFont="1" applyFill="1"/>
    <xf numFmtId="164" fontId="4" fillId="2" borderId="0" xfId="0" applyNumberFormat="1" applyFont="1" applyFill="1"/>
    <xf numFmtId="4" fontId="4" fillId="2" borderId="0" xfId="2" applyNumberFormat="1" applyFont="1" applyFill="1" applyAlignment="1">
      <alignment horizontal="right"/>
    </xf>
    <xf numFmtId="4" fontId="4" fillId="2" borderId="0" xfId="0" applyNumberFormat="1" applyFont="1" applyFill="1"/>
    <xf numFmtId="4" fontId="4" fillId="2" borderId="0" xfId="2" applyNumberFormat="1" applyFont="1" applyFill="1"/>
    <xf numFmtId="4" fontId="4" fillId="2" borderId="0" xfId="0" applyNumberFormat="1" applyFont="1" applyFill="1" applyAlignment="1">
      <alignment horizontal="right"/>
    </xf>
    <xf numFmtId="4" fontId="8" fillId="2" borderId="16" xfId="2" applyNumberFormat="1" applyFont="1" applyFill="1" applyBorder="1"/>
    <xf numFmtId="0" fontId="21" fillId="2" borderId="21" xfId="0" applyFont="1" applyFill="1" applyBorder="1"/>
    <xf numFmtId="0" fontId="5" fillId="2" borderId="11" xfId="0" applyFont="1" applyFill="1" applyBorder="1"/>
    <xf numFmtId="0" fontId="6" fillId="2" borderId="37" xfId="0" applyFont="1" applyFill="1" applyBorder="1"/>
    <xf numFmtId="3" fontId="17" fillId="2" borderId="0" xfId="0" applyNumberFormat="1" applyFont="1" applyFill="1"/>
    <xf numFmtId="3" fontId="6" fillId="2" borderId="0" xfId="0" applyNumberFormat="1" applyFont="1" applyFill="1"/>
    <xf numFmtId="164" fontId="6" fillId="2" borderId="0" xfId="0" applyNumberFormat="1" applyFont="1" applyFill="1"/>
    <xf numFmtId="4" fontId="6" fillId="2" borderId="0" xfId="2" applyNumberFormat="1" applyFont="1" applyFill="1"/>
    <xf numFmtId="4" fontId="6" fillId="2" borderId="0" xfId="0" applyNumberFormat="1" applyFont="1" applyFill="1"/>
    <xf numFmtId="0" fontId="8" fillId="2" borderId="0" xfId="0" applyFont="1" applyFill="1"/>
    <xf numFmtId="3" fontId="8" fillId="2" borderId="0" xfId="0" applyNumberFormat="1" applyFont="1" applyFill="1"/>
    <xf numFmtId="4" fontId="8" fillId="2" borderId="0" xfId="2" applyNumberFormat="1" applyFont="1" applyFill="1"/>
    <xf numFmtId="0" fontId="6" fillId="2" borderId="2" xfId="0" applyFont="1" applyFill="1" applyBorder="1"/>
    <xf numFmtId="49" fontId="6" fillId="2" borderId="2" xfId="0" applyNumberFormat="1" applyFont="1" applyFill="1" applyBorder="1"/>
    <xf numFmtId="3" fontId="6" fillId="2" borderId="21" xfId="2" applyNumberFormat="1" applyFont="1" applyFill="1" applyBorder="1"/>
    <xf numFmtId="2" fontId="6" fillId="2" borderId="49" xfId="0" applyNumberFormat="1" applyFont="1" applyFill="1" applyBorder="1"/>
    <xf numFmtId="0" fontId="14" fillId="2" borderId="20" xfId="0" applyFont="1" applyFill="1" applyBorder="1"/>
    <xf numFmtId="0" fontId="4" fillId="2" borderId="0" xfId="1" applyFont="1" applyFill="1"/>
    <xf numFmtId="0" fontId="8" fillId="2" borderId="2" xfId="1" applyFont="1" applyFill="1" applyBorder="1"/>
    <xf numFmtId="0" fontId="8" fillId="2" borderId="0" xfId="1" applyFont="1" applyFill="1" applyAlignment="1">
      <alignment horizontal="center"/>
    </xf>
    <xf numFmtId="0" fontId="6" fillId="2" borderId="44" xfId="1" applyFont="1" applyFill="1" applyBorder="1"/>
    <xf numFmtId="0" fontId="16" fillId="2" borderId="10" xfId="1" applyFont="1" applyFill="1" applyBorder="1"/>
    <xf numFmtId="0" fontId="20" fillId="2" borderId="33" xfId="0" applyFont="1" applyFill="1" applyBorder="1"/>
    <xf numFmtId="0" fontId="20" fillId="2" borderId="9" xfId="0" applyFont="1" applyFill="1" applyBorder="1"/>
    <xf numFmtId="0" fontId="8" fillId="2" borderId="16" xfId="2" applyFont="1" applyFill="1" applyBorder="1"/>
    <xf numFmtId="164" fontId="8" fillId="2" borderId="20" xfId="2" applyNumberFormat="1" applyFont="1" applyFill="1" applyBorder="1"/>
    <xf numFmtId="3" fontId="8" fillId="2" borderId="20" xfId="2" applyNumberFormat="1" applyFont="1" applyFill="1" applyBorder="1"/>
    <xf numFmtId="0" fontId="4" fillId="2" borderId="21" xfId="2" applyFont="1" applyFill="1" applyBorder="1"/>
    <xf numFmtId="4" fontId="4" fillId="2" borderId="18" xfId="2" applyNumberFormat="1" applyFont="1" applyFill="1" applyBorder="1"/>
    <xf numFmtId="0" fontId="4" fillId="2" borderId="16" xfId="2" applyFont="1" applyFill="1" applyBorder="1"/>
    <xf numFmtId="4" fontId="4" fillId="2" borderId="20" xfId="0" applyNumberFormat="1" applyFont="1" applyFill="1" applyBorder="1" applyAlignment="1">
      <alignment horizontal="right"/>
    </xf>
    <xf numFmtId="4" fontId="4" fillId="2" borderId="55" xfId="0" applyNumberFormat="1" applyFont="1" applyFill="1" applyBorder="1" applyAlignment="1">
      <alignment horizontal="right"/>
    </xf>
    <xf numFmtId="0" fontId="5" fillId="2" borderId="16" xfId="2" applyFont="1" applyFill="1" applyBorder="1"/>
    <xf numFmtId="0" fontId="4" fillId="2" borderId="19" xfId="2" applyFont="1" applyFill="1" applyBorder="1"/>
    <xf numFmtId="0" fontId="8" fillId="2" borderId="21" xfId="2" applyFont="1" applyFill="1" applyBorder="1"/>
    <xf numFmtId="0" fontId="4" fillId="2" borderId="0" xfId="2" applyFont="1" applyFill="1"/>
    <xf numFmtId="0" fontId="6" fillId="2" borderId="37" xfId="2" applyFont="1" applyFill="1" applyBorder="1"/>
    <xf numFmtId="10" fontId="16" fillId="2" borderId="0" xfId="0" applyNumberFormat="1" applyFont="1" applyFill="1"/>
    <xf numFmtId="0" fontId="15" fillId="2" borderId="0" xfId="0" applyFont="1" applyFill="1" applyAlignment="1">
      <alignment horizontal="right"/>
    </xf>
    <xf numFmtId="10" fontId="15" fillId="2" borderId="0" xfId="0" applyNumberFormat="1" applyFont="1" applyFill="1"/>
    <xf numFmtId="0" fontId="18" fillId="2" borderId="0" xfId="0" applyFont="1" applyFill="1"/>
    <xf numFmtId="4" fontId="8" fillId="2" borderId="55" xfId="0" applyNumberFormat="1" applyFont="1" applyFill="1" applyBorder="1" applyAlignment="1">
      <alignment horizontal="right"/>
    </xf>
    <xf numFmtId="49" fontId="6" fillId="2" borderId="25" xfId="3" applyNumberFormat="1" applyFont="1" applyFill="1" applyBorder="1" applyAlignment="1">
      <alignment horizontal="left"/>
    </xf>
    <xf numFmtId="3" fontId="6" fillId="2" borderId="26" xfId="3" applyNumberFormat="1" applyFont="1" applyFill="1" applyBorder="1" applyAlignment="1">
      <alignment horizontal="right" vertical="top" wrapText="1"/>
    </xf>
    <xf numFmtId="0" fontId="14" fillId="0" borderId="0" xfId="0" applyFont="1" applyAlignment="1">
      <alignment horizontal="right"/>
    </xf>
    <xf numFmtId="0" fontId="8" fillId="2" borderId="18" xfId="2" applyFont="1" applyFill="1" applyBorder="1" applyAlignment="1">
      <alignment horizontal="left"/>
    </xf>
    <xf numFmtId="0" fontId="8" fillId="2" borderId="19" xfId="2" applyFont="1" applyFill="1" applyBorder="1" applyAlignment="1">
      <alignment horizontal="left"/>
    </xf>
    <xf numFmtId="0" fontId="8" fillId="2" borderId="20" xfId="2" applyFont="1" applyFill="1" applyBorder="1" applyAlignment="1">
      <alignment horizontal="left"/>
    </xf>
    <xf numFmtId="3" fontId="4" fillId="2" borderId="13" xfId="2" applyNumberFormat="1" applyFont="1" applyFill="1" applyBorder="1" applyAlignment="1">
      <alignment horizontal="right"/>
    </xf>
    <xf numFmtId="49" fontId="4" fillId="2" borderId="14" xfId="2" applyNumberFormat="1" applyFont="1" applyFill="1" applyBorder="1" applyAlignment="1">
      <alignment horizontal="center"/>
    </xf>
    <xf numFmtId="49" fontId="4" fillId="2" borderId="8" xfId="2" applyNumberFormat="1" applyFont="1" applyFill="1" applyBorder="1" applyAlignment="1">
      <alignment horizontal="center"/>
    </xf>
    <xf numFmtId="0" fontId="4" fillId="2" borderId="13" xfId="2" applyFont="1" applyFill="1" applyBorder="1" applyAlignment="1">
      <alignment horizontal="left"/>
    </xf>
    <xf numFmtId="49" fontId="4" fillId="2" borderId="13" xfId="2" applyNumberFormat="1" applyFont="1" applyFill="1" applyBorder="1" applyAlignment="1">
      <alignment horizontal="center"/>
    </xf>
    <xf numFmtId="0" fontId="6" fillId="2" borderId="36" xfId="0" applyFont="1" applyFill="1" applyBorder="1"/>
    <xf numFmtId="0" fontId="6" fillId="0" borderId="0" xfId="0" applyFont="1"/>
    <xf numFmtId="49" fontId="8" fillId="0" borderId="21" xfId="2" applyNumberFormat="1" applyFont="1" applyBorder="1" applyAlignment="1">
      <alignment horizontal="left"/>
    </xf>
    <xf numFmtId="49" fontId="8" fillId="0" borderId="19" xfId="2" applyNumberFormat="1" applyFont="1" applyBorder="1" applyAlignment="1">
      <alignment horizontal="left"/>
    </xf>
    <xf numFmtId="3" fontId="4" fillId="2" borderId="13" xfId="0" applyNumberFormat="1" applyFont="1" applyFill="1" applyBorder="1" applyAlignment="1">
      <alignment horizontal="right"/>
    </xf>
    <xf numFmtId="0" fontId="16" fillId="0" borderId="0" xfId="1" applyFont="1"/>
    <xf numFmtId="0" fontId="6" fillId="0" borderId="0" xfId="1" applyFont="1"/>
    <xf numFmtId="0" fontId="4" fillId="0" borderId="0" xfId="1" applyFont="1"/>
    <xf numFmtId="0" fontId="16" fillId="2" borderId="15" xfId="1" applyFont="1" applyFill="1" applyBorder="1"/>
    <xf numFmtId="0" fontId="17" fillId="2" borderId="15" xfId="0" applyFont="1" applyFill="1" applyBorder="1"/>
    <xf numFmtId="0" fontId="17" fillId="2" borderId="16" xfId="0" applyFont="1" applyFill="1" applyBorder="1"/>
    <xf numFmtId="0" fontId="17" fillId="2" borderId="41" xfId="0" applyFont="1" applyFill="1" applyBorder="1"/>
    <xf numFmtId="0" fontId="8" fillId="2" borderId="20" xfId="2" applyFont="1" applyFill="1" applyBorder="1"/>
    <xf numFmtId="0" fontId="4" fillId="2" borderId="20" xfId="2" applyFont="1" applyFill="1" applyBorder="1"/>
    <xf numFmtId="49" fontId="4" fillId="2" borderId="20" xfId="2" applyNumberFormat="1" applyFont="1" applyFill="1" applyBorder="1"/>
    <xf numFmtId="0" fontId="14" fillId="2" borderId="11" xfId="0" applyFont="1" applyFill="1" applyBorder="1"/>
    <xf numFmtId="0" fontId="4" fillId="2" borderId="13" xfId="2" applyFont="1" applyFill="1" applyBorder="1"/>
    <xf numFmtId="10" fontId="16" fillId="0" borderId="0" xfId="0" applyNumberFormat="1" applyFont="1"/>
    <xf numFmtId="0" fontId="4" fillId="0" borderId="0" xfId="2" applyFont="1"/>
    <xf numFmtId="0" fontId="6" fillId="2" borderId="52" xfId="0" applyFont="1" applyFill="1" applyBorder="1" applyAlignment="1">
      <alignment horizontal="center"/>
    </xf>
    <xf numFmtId="0" fontId="6" fillId="2" borderId="32" xfId="0" applyFont="1" applyFill="1" applyBorder="1"/>
    <xf numFmtId="49" fontId="6" fillId="2" borderId="32" xfId="0" applyNumberFormat="1" applyFont="1" applyFill="1" applyBorder="1"/>
    <xf numFmtId="14" fontId="6" fillId="0" borderId="33" xfId="0" applyNumberFormat="1" applyFont="1" applyBorder="1" applyAlignment="1">
      <alignment horizontal="center"/>
    </xf>
    <xf numFmtId="0" fontId="6" fillId="0" borderId="52" xfId="0" applyFont="1" applyBorder="1" applyAlignment="1">
      <alignment horizontal="center"/>
    </xf>
    <xf numFmtId="0" fontId="6" fillId="0" borderId="56" xfId="0" applyFont="1" applyBorder="1" applyAlignment="1">
      <alignment horizontal="center"/>
    </xf>
    <xf numFmtId="49" fontId="4" fillId="2" borderId="13" xfId="0" applyNumberFormat="1" applyFont="1" applyFill="1" applyBorder="1"/>
    <xf numFmtId="49" fontId="4" fillId="2" borderId="14" xfId="3" applyNumberFormat="1" applyFont="1" applyFill="1" applyBorder="1" applyAlignment="1">
      <alignment horizontal="center"/>
    </xf>
    <xf numFmtId="0" fontId="13" fillId="2" borderId="20" xfId="3" applyFont="1" applyFill="1" applyBorder="1" applyAlignment="1">
      <alignment wrapText="1"/>
    </xf>
    <xf numFmtId="3" fontId="4" fillId="2" borderId="20" xfId="2" applyNumberFormat="1" applyFont="1" applyFill="1" applyBorder="1" applyAlignment="1">
      <alignment horizontal="right"/>
    </xf>
    <xf numFmtId="49" fontId="8" fillId="0" borderId="4" xfId="0" applyNumberFormat="1" applyFont="1" applyBorder="1" applyAlignment="1">
      <alignment horizontal="center"/>
    </xf>
    <xf numFmtId="49" fontId="8" fillId="0" borderId="7" xfId="0" applyNumberFormat="1" applyFont="1" applyBorder="1" applyAlignment="1">
      <alignment horizontal="center"/>
    </xf>
    <xf numFmtId="0" fontId="6" fillId="2" borderId="44" xfId="0" applyFont="1" applyFill="1" applyBorder="1"/>
    <xf numFmtId="0" fontId="17" fillId="0" borderId="33" xfId="0" applyFont="1" applyBorder="1"/>
    <xf numFmtId="0" fontId="20" fillId="2" borderId="15" xfId="0" applyFont="1" applyFill="1" applyBorder="1"/>
    <xf numFmtId="4" fontId="20" fillId="2" borderId="16" xfId="0" applyNumberFormat="1" applyFont="1" applyFill="1" applyBorder="1"/>
    <xf numFmtId="0" fontId="4" fillId="0" borderId="20" xfId="0" applyFont="1" applyBorder="1"/>
    <xf numFmtId="0" fontId="4" fillId="2" borderId="15" xfId="2" applyFont="1" applyFill="1" applyBorder="1"/>
    <xf numFmtId="0" fontId="4" fillId="2" borderId="18" xfId="2" applyFont="1" applyFill="1" applyBorder="1"/>
    <xf numFmtId="0" fontId="4" fillId="0" borderId="19" xfId="0" applyFont="1" applyBorder="1" applyAlignment="1">
      <alignment horizontal="left"/>
    </xf>
    <xf numFmtId="0" fontId="4" fillId="2" borderId="11" xfId="0" applyFont="1" applyFill="1" applyBorder="1"/>
    <xf numFmtId="0" fontId="4" fillId="2" borderId="17" xfId="0" applyFont="1" applyFill="1" applyBorder="1"/>
    <xf numFmtId="0" fontId="4" fillId="2" borderId="14" xfId="0" applyFont="1" applyFill="1" applyBorder="1"/>
    <xf numFmtId="0" fontId="21" fillId="0" borderId="0" xfId="0" applyFont="1"/>
    <xf numFmtId="0" fontId="4" fillId="0" borderId="19" xfId="0" applyFont="1" applyBorder="1" applyAlignment="1">
      <alignment horizontal="left" wrapText="1"/>
    </xf>
    <xf numFmtId="49" fontId="4" fillId="2" borderId="4" xfId="0" applyNumberFormat="1" applyFont="1" applyFill="1" applyBorder="1"/>
    <xf numFmtId="0" fontId="4" fillId="0" borderId="4" xfId="0" applyFont="1" applyBorder="1"/>
    <xf numFmtId="2" fontId="4" fillId="2" borderId="34" xfId="0" applyNumberFormat="1" applyFont="1" applyFill="1" applyBorder="1"/>
    <xf numFmtId="164" fontId="17" fillId="0" borderId="0" xfId="0" applyNumberFormat="1" applyFont="1"/>
    <xf numFmtId="0" fontId="6" fillId="0" borderId="3" xfId="0" applyFont="1" applyBorder="1" applyAlignment="1">
      <alignment horizontal="left"/>
    </xf>
    <xf numFmtId="0" fontId="6" fillId="0" borderId="10" xfId="0" applyFont="1" applyBorder="1"/>
    <xf numFmtId="49" fontId="6" fillId="0" borderId="23" xfId="0" applyNumberFormat="1" applyFont="1" applyBorder="1"/>
    <xf numFmtId="0" fontId="16" fillId="0" borderId="15" xfId="0" applyFont="1" applyBorder="1"/>
    <xf numFmtId="0" fontId="16" fillId="0" borderId="16" xfId="0" applyFont="1" applyBorder="1"/>
    <xf numFmtId="0" fontId="17" fillId="0" borderId="41" xfId="0" applyFont="1" applyBorder="1"/>
    <xf numFmtId="49" fontId="8" fillId="0" borderId="18" xfId="2" applyNumberFormat="1" applyFont="1" applyBorder="1" applyAlignment="1">
      <alignment horizontal="left"/>
    </xf>
    <xf numFmtId="49" fontId="4" fillId="0" borderId="20" xfId="2" applyNumberFormat="1" applyFont="1" applyBorder="1" applyAlignment="1">
      <alignment horizontal="left"/>
    </xf>
    <xf numFmtId="0" fontId="4" fillId="0" borderId="21" xfId="2" applyFont="1" applyBorder="1"/>
    <xf numFmtId="49" fontId="4" fillId="0" borderId="14" xfId="2" applyNumberFormat="1" applyFont="1" applyBorder="1" applyAlignment="1">
      <alignment horizontal="center"/>
    </xf>
    <xf numFmtId="49" fontId="4" fillId="0" borderId="19" xfId="2" applyNumberFormat="1" applyFont="1" applyBorder="1" applyAlignment="1">
      <alignment horizontal="left"/>
    </xf>
    <xf numFmtId="0" fontId="4" fillId="0" borderId="13" xfId="0" applyFont="1" applyBorder="1" applyAlignment="1">
      <alignment wrapText="1"/>
    </xf>
    <xf numFmtId="0" fontId="4" fillId="0" borderId="13" xfId="2" applyFont="1" applyBorder="1"/>
    <xf numFmtId="4" fontId="4" fillId="0" borderId="12" xfId="2" applyNumberFormat="1" applyFont="1" applyBorder="1"/>
    <xf numFmtId="0" fontId="6" fillId="0" borderId="37" xfId="2" applyFont="1" applyBorder="1"/>
    <xf numFmtId="0" fontId="8" fillId="0" borderId="2" xfId="0" applyFont="1" applyBorder="1"/>
    <xf numFmtId="49" fontId="6" fillId="0" borderId="33" xfId="0" applyNumberFormat="1" applyFont="1" applyBorder="1"/>
    <xf numFmtId="49" fontId="8" fillId="0" borderId="16" xfId="0" applyNumberFormat="1" applyFont="1" applyBorder="1"/>
    <xf numFmtId="49" fontId="4" fillId="0" borderId="15" xfId="2" applyNumberFormat="1" applyFont="1" applyBorder="1" applyAlignment="1">
      <alignment horizontal="left" wrapText="1"/>
    </xf>
    <xf numFmtId="0" fontId="4" fillId="0" borderId="16" xfId="3" applyFont="1" applyBorder="1" applyAlignment="1">
      <alignment wrapText="1"/>
    </xf>
    <xf numFmtId="0" fontId="4" fillId="0" borderId="20" xfId="5" applyFont="1" applyBorder="1" applyAlignment="1">
      <alignment wrapText="1"/>
    </xf>
    <xf numFmtId="0" fontId="4" fillId="0" borderId="21" xfId="3" applyFont="1" applyBorder="1" applyAlignment="1">
      <alignment wrapText="1"/>
    </xf>
    <xf numFmtId="49" fontId="4" fillId="0" borderId="20" xfId="2" applyNumberFormat="1" applyFont="1" applyBorder="1" applyAlignment="1">
      <alignment horizontal="left" wrapText="1"/>
    </xf>
    <xf numFmtId="49" fontId="4" fillId="0" borderId="43" xfId="3" applyNumberFormat="1" applyFont="1" applyBorder="1" applyAlignment="1">
      <alignment horizontal="center"/>
    </xf>
    <xf numFmtId="4" fontId="4" fillId="0" borderId="12" xfId="2" applyNumberFormat="1" applyFont="1" applyBorder="1" applyAlignment="1">
      <alignment horizontal="right"/>
    </xf>
    <xf numFmtId="49" fontId="4" fillId="0" borderId="13" xfId="2" applyNumberFormat="1" applyFont="1" applyBorder="1" applyAlignment="1">
      <alignment horizontal="left" wrapText="1"/>
    </xf>
    <xf numFmtId="0" fontId="4" fillId="0" borderId="12" xfId="3" applyFont="1" applyBorder="1" applyAlignment="1">
      <alignment wrapText="1"/>
    </xf>
    <xf numFmtId="0" fontId="7" fillId="0" borderId="0" xfId="0" applyFont="1"/>
    <xf numFmtId="0" fontId="4" fillId="0" borderId="0" xfId="0" applyFont="1"/>
    <xf numFmtId="0" fontId="6" fillId="2" borderId="9" xfId="0" applyFont="1" applyFill="1" applyBorder="1"/>
    <xf numFmtId="49" fontId="6" fillId="2" borderId="15" xfId="0" applyNumberFormat="1" applyFont="1" applyFill="1" applyBorder="1"/>
    <xf numFmtId="0" fontId="16" fillId="2" borderId="32" xfId="0" applyFont="1" applyFill="1" applyBorder="1"/>
    <xf numFmtId="0" fontId="16" fillId="2" borderId="9" xfId="0" applyFont="1" applyFill="1" applyBorder="1"/>
    <xf numFmtId="0" fontId="4" fillId="2" borderId="11" xfId="2" applyFont="1" applyFill="1" applyBorder="1"/>
    <xf numFmtId="0" fontId="4" fillId="2" borderId="45" xfId="2" applyFont="1" applyFill="1" applyBorder="1"/>
    <xf numFmtId="0" fontId="4" fillId="2" borderId="22" xfId="2" applyFont="1" applyFill="1" applyBorder="1"/>
    <xf numFmtId="49" fontId="8" fillId="2" borderId="15" xfId="0" applyNumberFormat="1" applyFont="1" applyFill="1" applyBorder="1"/>
    <xf numFmtId="0" fontId="16" fillId="0" borderId="0" xfId="0" applyFont="1"/>
    <xf numFmtId="0" fontId="11" fillId="0" borderId="0" xfId="0" applyFont="1"/>
    <xf numFmtId="0" fontId="17" fillId="2" borderId="52" xfId="0" applyFont="1" applyFill="1" applyBorder="1"/>
    <xf numFmtId="0" fontId="4" fillId="2" borderId="17" xfId="2" applyFont="1" applyFill="1" applyBorder="1"/>
    <xf numFmtId="0" fontId="8" fillId="0" borderId="22" xfId="0" applyFont="1" applyBorder="1"/>
    <xf numFmtId="0" fontId="6" fillId="2" borderId="25" xfId="2" applyFont="1" applyFill="1" applyBorder="1"/>
    <xf numFmtId="4" fontId="8" fillId="2" borderId="49" xfId="2" applyNumberFormat="1" applyFont="1" applyFill="1" applyBorder="1"/>
    <xf numFmtId="4" fontId="4" fillId="2" borderId="49" xfId="2" applyNumberFormat="1" applyFont="1" applyFill="1" applyBorder="1"/>
    <xf numFmtId="49" fontId="4" fillId="0" borderId="54" xfId="3" applyNumberFormat="1" applyFont="1" applyBorder="1" applyAlignment="1">
      <alignment horizontal="center"/>
    </xf>
    <xf numFmtId="0" fontId="4" fillId="0" borderId="54" xfId="3" applyFont="1" applyBorder="1" applyAlignment="1">
      <alignment horizontal="justify" wrapText="1"/>
    </xf>
    <xf numFmtId="49" fontId="4" fillId="0" borderId="40" xfId="3" applyNumberFormat="1" applyFont="1" applyBorder="1" applyAlignment="1">
      <alignment horizontal="center"/>
    </xf>
    <xf numFmtId="4" fontId="6" fillId="2" borderId="48" xfId="2" applyNumberFormat="1" applyFont="1" applyFill="1" applyBorder="1"/>
    <xf numFmtId="4" fontId="17" fillId="0" borderId="0" xfId="0" applyNumberFormat="1" applyFont="1" applyFill="1" applyAlignment="1"/>
    <xf numFmtId="4" fontId="14" fillId="0" borderId="0" xfId="0" applyNumberFormat="1" applyFont="1" applyFill="1" applyAlignment="1"/>
    <xf numFmtId="4" fontId="4" fillId="0" borderId="0" xfId="3" applyNumberFormat="1" applyFont="1" applyFill="1" applyAlignment="1"/>
    <xf numFmtId="4" fontId="14" fillId="0" borderId="0" xfId="0" applyNumberFormat="1" applyFont="1" applyFill="1" applyBorder="1" applyAlignment="1"/>
    <xf numFmtId="49" fontId="4" fillId="0" borderId="29" xfId="3" applyNumberFormat="1" applyFont="1" applyFill="1" applyBorder="1" applyAlignment="1">
      <alignment horizontal="center"/>
    </xf>
    <xf numFmtId="0" fontId="13" fillId="0" borderId="0" xfId="0" applyFont="1" applyFill="1" applyBorder="1" applyAlignment="1">
      <alignment horizontal="left" wrapText="1"/>
    </xf>
    <xf numFmtId="2" fontId="4" fillId="0" borderId="34" xfId="0" applyNumberFormat="1" applyFont="1" applyFill="1" applyBorder="1" applyAlignment="1">
      <alignment horizontal="right"/>
    </xf>
    <xf numFmtId="0" fontId="8" fillId="2" borderId="20" xfId="2" applyFont="1" applyFill="1" applyBorder="1" applyAlignment="1">
      <alignment horizontal="left"/>
    </xf>
    <xf numFmtId="3" fontId="4" fillId="2" borderId="20" xfId="0" applyNumberFormat="1" applyFont="1" applyFill="1" applyBorder="1"/>
    <xf numFmtId="164" fontId="4" fillId="2" borderId="20" xfId="0" applyNumberFormat="1" applyFont="1" applyFill="1" applyBorder="1"/>
    <xf numFmtId="3" fontId="8" fillId="2" borderId="20" xfId="0" applyNumberFormat="1" applyFont="1" applyFill="1" applyBorder="1"/>
    <xf numFmtId="164" fontId="8" fillId="2" borderId="20" xfId="0" applyNumberFormat="1" applyFont="1" applyFill="1" applyBorder="1"/>
    <xf numFmtId="164" fontId="8" fillId="2" borderId="20" xfId="2" applyNumberFormat="1" applyFont="1" applyFill="1" applyBorder="1" applyAlignment="1">
      <alignment horizontal="right"/>
    </xf>
    <xf numFmtId="3" fontId="8" fillId="2" borderId="15" xfId="0" applyNumberFormat="1" applyFont="1" applyFill="1" applyBorder="1" applyAlignment="1">
      <alignment horizontal="right"/>
    </xf>
    <xf numFmtId="164" fontId="8" fillId="2" borderId="15" xfId="0" applyNumberFormat="1" applyFont="1" applyFill="1" applyBorder="1" applyAlignment="1">
      <alignment horizontal="right"/>
    </xf>
    <xf numFmtId="3" fontId="4" fillId="2" borderId="20" xfId="3" applyNumberFormat="1" applyFont="1" applyFill="1" applyBorder="1"/>
    <xf numFmtId="164" fontId="4" fillId="2" borderId="20" xfId="3" applyNumberFormat="1" applyFont="1" applyFill="1" applyBorder="1"/>
    <xf numFmtId="3" fontId="4" fillId="2" borderId="13" xfId="3" applyNumberFormat="1" applyFont="1" applyFill="1" applyBorder="1"/>
    <xf numFmtId="164" fontId="4" fillId="2" borderId="13" xfId="3" applyNumberFormat="1" applyFont="1" applyFill="1" applyBorder="1"/>
    <xf numFmtId="0" fontId="14" fillId="2" borderId="13" xfId="0" applyFont="1" applyFill="1" applyBorder="1"/>
    <xf numFmtId="3" fontId="8" fillId="2" borderId="20" xfId="3" applyNumberFormat="1" applyFont="1" applyFill="1" applyBorder="1"/>
    <xf numFmtId="164" fontId="8" fillId="2" borderId="20" xfId="3" applyNumberFormat="1" applyFont="1" applyFill="1" applyBorder="1"/>
    <xf numFmtId="3" fontId="4" fillId="2" borderId="15" xfId="3" applyNumberFormat="1" applyFont="1" applyFill="1" applyBorder="1"/>
    <xf numFmtId="164" fontId="4" fillId="2" borderId="15" xfId="3" applyNumberFormat="1" applyFont="1" applyFill="1" applyBorder="1"/>
    <xf numFmtId="0" fontId="14" fillId="2" borderId="15" xfId="0" applyFont="1" applyFill="1" applyBorder="1"/>
    <xf numFmtId="3" fontId="4" fillId="2" borderId="7" xfId="3" applyNumberFormat="1" applyFont="1" applyFill="1" applyBorder="1"/>
    <xf numFmtId="164" fontId="4" fillId="2" borderId="4" xfId="3" applyNumberFormat="1" applyFont="1" applyFill="1" applyBorder="1"/>
    <xf numFmtId="0" fontId="14" fillId="2" borderId="4" xfId="0" applyFont="1" applyFill="1" applyBorder="1"/>
    <xf numFmtId="3" fontId="4" fillId="2" borderId="19" xfId="0" applyNumberFormat="1" applyFont="1" applyFill="1" applyBorder="1"/>
    <xf numFmtId="164" fontId="4" fillId="2" borderId="19" xfId="0" applyNumberFormat="1" applyFont="1" applyFill="1" applyBorder="1"/>
    <xf numFmtId="3" fontId="4" fillId="2" borderId="22" xfId="0" applyNumberFormat="1" applyFont="1" applyFill="1" applyBorder="1"/>
    <xf numFmtId="164" fontId="4" fillId="2" borderId="22" xfId="0" applyNumberFormat="1" applyFont="1" applyFill="1" applyBorder="1"/>
    <xf numFmtId="3" fontId="4" fillId="2" borderId="4" xfId="3" applyNumberFormat="1" applyFont="1" applyFill="1" applyBorder="1"/>
    <xf numFmtId="3" fontId="4" fillId="2" borderId="13" xfId="2" applyNumberFormat="1" applyFont="1" applyFill="1" applyBorder="1"/>
    <xf numFmtId="164" fontId="4" fillId="2" borderId="13" xfId="2" applyNumberFormat="1" applyFont="1" applyFill="1" applyBorder="1"/>
    <xf numFmtId="3" fontId="14" fillId="2" borderId="20" xfId="0" applyNumberFormat="1" applyFont="1" applyFill="1" applyBorder="1"/>
    <xf numFmtId="3" fontId="4" fillId="2" borderId="22" xfId="3" applyNumberFormat="1" applyFont="1" applyFill="1" applyBorder="1"/>
    <xf numFmtId="3" fontId="14" fillId="2" borderId="13" xfId="0" applyNumberFormat="1" applyFont="1" applyFill="1" applyBorder="1"/>
    <xf numFmtId="164" fontId="17" fillId="2" borderId="0" xfId="0" applyNumberFormat="1" applyFont="1" applyFill="1"/>
    <xf numFmtId="3" fontId="6" fillId="2" borderId="36" xfId="3" applyNumberFormat="1" applyFont="1" applyFill="1" applyBorder="1" applyAlignment="1">
      <alignment vertical="top" wrapText="1"/>
    </xf>
    <xf numFmtId="3" fontId="8" fillId="2" borderId="20" xfId="0" applyNumberFormat="1" applyFont="1" applyFill="1" applyBorder="1" applyAlignment="1">
      <alignment horizontal="right"/>
    </xf>
    <xf numFmtId="164" fontId="8" fillId="2" borderId="20" xfId="0" applyNumberFormat="1" applyFont="1" applyFill="1" applyBorder="1" applyAlignment="1">
      <alignment horizontal="right"/>
    </xf>
    <xf numFmtId="3" fontId="4" fillId="2" borderId="20" xfId="0" applyNumberFormat="1" applyFont="1" applyFill="1" applyBorder="1" applyAlignment="1">
      <alignment horizontal="right"/>
    </xf>
    <xf numFmtId="164" fontId="4" fillId="2" borderId="20" xfId="0" applyNumberFormat="1" applyFont="1" applyFill="1" applyBorder="1" applyAlignment="1">
      <alignment horizontal="right"/>
    </xf>
    <xf numFmtId="0" fontId="4" fillId="2" borderId="13" xfId="0" applyFont="1" applyFill="1" applyBorder="1" applyAlignment="1"/>
    <xf numFmtId="164" fontId="4" fillId="2" borderId="13" xfId="0" applyNumberFormat="1" applyFont="1" applyFill="1" applyBorder="1" applyAlignment="1"/>
    <xf numFmtId="3" fontId="8" fillId="2" borderId="4" xfId="0" applyNumberFormat="1" applyFont="1" applyFill="1" applyBorder="1" applyAlignment="1"/>
    <xf numFmtId="164" fontId="8" fillId="2" borderId="4" xfId="0" applyNumberFormat="1" applyFont="1" applyFill="1" applyBorder="1" applyAlignment="1"/>
    <xf numFmtId="3" fontId="8" fillId="2" borderId="20" xfId="0" applyNumberFormat="1" applyFont="1" applyFill="1" applyBorder="1" applyAlignment="1"/>
    <xf numFmtId="164" fontId="8" fillId="2" borderId="20" xfId="0" applyNumberFormat="1" applyFont="1" applyFill="1" applyBorder="1" applyAlignment="1"/>
    <xf numFmtId="3" fontId="8" fillId="2" borderId="20" xfId="2" applyNumberFormat="1" applyFont="1" applyFill="1" applyBorder="1" applyAlignment="1"/>
    <xf numFmtId="164" fontId="8" fillId="2" borderId="20" xfId="2" applyNumberFormat="1" applyFont="1" applyFill="1" applyBorder="1" applyAlignment="1"/>
    <xf numFmtId="0" fontId="4" fillId="2" borderId="20" xfId="0" applyFont="1" applyFill="1" applyBorder="1" applyAlignment="1">
      <alignment horizontal="right"/>
    </xf>
    <xf numFmtId="0" fontId="4" fillId="2" borderId="13" xfId="0" applyFont="1" applyFill="1" applyBorder="1" applyAlignment="1">
      <alignment horizontal="right"/>
    </xf>
    <xf numFmtId="164" fontId="4" fillId="2" borderId="13" xfId="0" applyNumberFormat="1" applyFont="1" applyFill="1" applyBorder="1" applyAlignment="1">
      <alignment horizontal="right"/>
    </xf>
    <xf numFmtId="3" fontId="6" fillId="2" borderId="26" xfId="2" applyNumberFormat="1" applyFont="1" applyFill="1" applyBorder="1" applyAlignment="1"/>
    <xf numFmtId="164" fontId="6" fillId="2" borderId="26" xfId="2" applyNumberFormat="1" applyFont="1" applyFill="1" applyBorder="1" applyAlignment="1"/>
    <xf numFmtId="3" fontId="4" fillId="2" borderId="13" xfId="3" applyNumberFormat="1" applyFont="1" applyFill="1" applyBorder="1" applyAlignment="1">
      <alignment wrapText="1"/>
    </xf>
    <xf numFmtId="164" fontId="4" fillId="2" borderId="13" xfId="3" applyNumberFormat="1" applyFont="1" applyFill="1" applyBorder="1" applyAlignment="1">
      <alignment wrapText="1"/>
    </xf>
    <xf numFmtId="3" fontId="19" fillId="2" borderId="20" xfId="0" applyNumberFormat="1" applyFont="1" applyFill="1" applyBorder="1" applyAlignment="1"/>
    <xf numFmtId="164" fontId="19" fillId="2" borderId="20" xfId="0" applyNumberFormat="1" applyFont="1" applyFill="1" applyBorder="1" applyAlignment="1"/>
    <xf numFmtId="164" fontId="4" fillId="2" borderId="20" xfId="3" applyNumberFormat="1" applyFont="1" applyFill="1" applyBorder="1" applyAlignment="1"/>
    <xf numFmtId="3" fontId="4" fillId="2" borderId="15" xfId="3" applyNumberFormat="1" applyFont="1" applyFill="1" applyBorder="1" applyAlignment="1"/>
    <xf numFmtId="164" fontId="4" fillId="2" borderId="15" xfId="3" applyNumberFormat="1" applyFont="1" applyFill="1" applyBorder="1" applyAlignment="1"/>
    <xf numFmtId="0" fontId="14" fillId="2" borderId="15" xfId="0" applyFont="1" applyFill="1" applyBorder="1" applyAlignment="1"/>
    <xf numFmtId="3" fontId="19" fillId="2" borderId="15" xfId="0" applyNumberFormat="1" applyFont="1" applyFill="1" applyBorder="1" applyAlignment="1"/>
    <xf numFmtId="164" fontId="19" fillId="2" borderId="15" xfId="0" applyNumberFormat="1" applyFont="1" applyFill="1" applyBorder="1" applyAlignment="1"/>
    <xf numFmtId="3" fontId="14" fillId="2" borderId="20" xfId="0" applyNumberFormat="1" applyFont="1" applyFill="1" applyBorder="1" applyAlignment="1"/>
    <xf numFmtId="3" fontId="4" fillId="2" borderId="39" xfId="3" applyNumberFormat="1" applyFont="1" applyFill="1" applyBorder="1" applyAlignment="1"/>
    <xf numFmtId="164" fontId="4" fillId="2" borderId="39" xfId="3" applyNumberFormat="1" applyFont="1" applyFill="1" applyBorder="1" applyAlignment="1"/>
    <xf numFmtId="3" fontId="14" fillId="2" borderId="39" xfId="0" applyNumberFormat="1" applyFont="1" applyFill="1" applyBorder="1" applyAlignment="1"/>
    <xf numFmtId="164" fontId="4" fillId="2" borderId="0" xfId="3" applyNumberFormat="1" applyFont="1" applyFill="1" applyBorder="1" applyAlignment="1"/>
    <xf numFmtId="3" fontId="14" fillId="2" borderId="0" xfId="0" applyNumberFormat="1" applyFont="1" applyFill="1" applyBorder="1" applyAlignment="1"/>
    <xf numFmtId="3" fontId="8" fillId="2" borderId="20" xfId="3" applyNumberFormat="1" applyFont="1" applyFill="1" applyBorder="1" applyAlignment="1"/>
    <xf numFmtId="164" fontId="8" fillId="2" borderId="20" xfId="3" applyNumberFormat="1" applyFont="1" applyFill="1" applyBorder="1" applyAlignment="1"/>
    <xf numFmtId="164" fontId="4" fillId="2" borderId="13" xfId="3" applyNumberFormat="1" applyFont="1" applyFill="1" applyBorder="1" applyAlignment="1"/>
    <xf numFmtId="3" fontId="14" fillId="2" borderId="13" xfId="0" applyNumberFormat="1" applyFont="1" applyFill="1" applyBorder="1" applyAlignment="1"/>
    <xf numFmtId="3" fontId="4" fillId="2" borderId="13" xfId="3" applyNumberFormat="1" applyFont="1" applyFill="1" applyBorder="1" applyAlignment="1"/>
    <xf numFmtId="3" fontId="4" fillId="2" borderId="4" xfId="3" applyNumberFormat="1" applyFont="1" applyFill="1" applyBorder="1" applyAlignment="1"/>
    <xf numFmtId="164" fontId="4" fillId="2" borderId="4" xfId="3" applyNumberFormat="1" applyFont="1" applyFill="1" applyBorder="1" applyAlignment="1"/>
    <xf numFmtId="0" fontId="14" fillId="2" borderId="4" xfId="0" applyFont="1" applyFill="1" applyBorder="1" applyAlignment="1"/>
    <xf numFmtId="3" fontId="8" fillId="2" borderId="19" xfId="0" applyNumberFormat="1" applyFont="1" applyFill="1" applyBorder="1"/>
    <xf numFmtId="164" fontId="8" fillId="2" borderId="19" xfId="0" applyNumberFormat="1" applyFont="1" applyFill="1" applyBorder="1"/>
    <xf numFmtId="164" fontId="6" fillId="2" borderId="26" xfId="3" applyNumberFormat="1" applyFont="1" applyFill="1" applyBorder="1" applyAlignment="1">
      <alignment wrapText="1"/>
    </xf>
    <xf numFmtId="3" fontId="6" fillId="2" borderId="26" xfId="3" applyNumberFormat="1" applyFont="1" applyFill="1" applyBorder="1" applyAlignment="1">
      <alignment wrapText="1"/>
    </xf>
    <xf numFmtId="3" fontId="25" fillId="2" borderId="20" xfId="2" applyNumberFormat="1" applyFont="1" applyFill="1" applyBorder="1"/>
    <xf numFmtId="164" fontId="4" fillId="2" borderId="13" xfId="2" applyNumberFormat="1" applyFont="1" applyFill="1" applyBorder="1" applyAlignment="1">
      <alignment horizontal="right"/>
    </xf>
    <xf numFmtId="164" fontId="4" fillId="2" borderId="15" xfId="2" applyNumberFormat="1" applyFont="1" applyFill="1" applyBorder="1" applyAlignment="1">
      <alignment horizontal="right"/>
    </xf>
    <xf numFmtId="1" fontId="4" fillId="2" borderId="13" xfId="0" applyNumberFormat="1" applyFont="1" applyFill="1" applyBorder="1" applyAlignment="1">
      <alignment horizontal="right"/>
    </xf>
    <xf numFmtId="1" fontId="14" fillId="2" borderId="13" xfId="0" applyNumberFormat="1" applyFont="1" applyFill="1" applyBorder="1"/>
    <xf numFmtId="1" fontId="14" fillId="2" borderId="20" xfId="0" applyNumberFormat="1" applyFont="1" applyFill="1" applyBorder="1"/>
    <xf numFmtId="164" fontId="4" fillId="2" borderId="21" xfId="0" applyNumberFormat="1" applyFont="1" applyFill="1" applyBorder="1"/>
    <xf numFmtId="3" fontId="4" fillId="2" borderId="21" xfId="0" applyNumberFormat="1" applyFont="1" applyFill="1" applyBorder="1"/>
    <xf numFmtId="164" fontId="4" fillId="2" borderId="18" xfId="0" applyNumberFormat="1" applyFont="1" applyFill="1" applyBorder="1"/>
    <xf numFmtId="3" fontId="4" fillId="2" borderId="18" xfId="0" applyNumberFormat="1" applyFont="1" applyFill="1" applyBorder="1"/>
    <xf numFmtId="164" fontId="8" fillId="2" borderId="21" xfId="0" applyNumberFormat="1" applyFont="1" applyFill="1" applyBorder="1"/>
    <xf numFmtId="164" fontId="4" fillId="2" borderId="16" xfId="0" applyNumberFormat="1" applyFont="1" applyFill="1" applyBorder="1"/>
    <xf numFmtId="3" fontId="4" fillId="2" borderId="16" xfId="0" applyNumberFormat="1" applyFont="1" applyFill="1" applyBorder="1"/>
    <xf numFmtId="14" fontId="6" fillId="2" borderId="15" xfId="0" applyNumberFormat="1" applyFont="1" applyFill="1" applyBorder="1" applyAlignment="1">
      <alignment horizontal="center"/>
    </xf>
    <xf numFmtId="3" fontId="8" fillId="2" borderId="10" xfId="2" applyNumberFormat="1" applyFont="1" applyFill="1" applyBorder="1"/>
    <xf numFmtId="164" fontId="8" fillId="2" borderId="10" xfId="2" applyNumberFormat="1" applyFont="1" applyFill="1" applyBorder="1"/>
    <xf numFmtId="3" fontId="4" fillId="2" borderId="17" xfId="2" applyNumberFormat="1" applyFont="1" applyFill="1" applyBorder="1"/>
    <xf numFmtId="164" fontId="4" fillId="2" borderId="17" xfId="2" applyNumberFormat="1" applyFont="1" applyFill="1" applyBorder="1"/>
    <xf numFmtId="3" fontId="4" fillId="2" borderId="19" xfId="2" applyNumberFormat="1" applyFont="1" applyFill="1" applyBorder="1"/>
    <xf numFmtId="164" fontId="4" fillId="2" borderId="19" xfId="2" applyNumberFormat="1" applyFont="1" applyFill="1" applyBorder="1"/>
    <xf numFmtId="3" fontId="8" fillId="2" borderId="19" xfId="2" applyNumberFormat="1" applyFont="1" applyFill="1" applyBorder="1"/>
    <xf numFmtId="164" fontId="8" fillId="2" borderId="19" xfId="2" applyNumberFormat="1" applyFont="1" applyFill="1" applyBorder="1"/>
    <xf numFmtId="3" fontId="6" fillId="2" borderId="36" xfId="2" applyNumberFormat="1" applyFont="1" applyFill="1" applyBorder="1" applyAlignment="1">
      <alignment vertical="top"/>
    </xf>
    <xf numFmtId="164" fontId="6" fillId="2" borderId="36" xfId="2" applyNumberFormat="1" applyFont="1" applyFill="1" applyBorder="1" applyAlignment="1">
      <alignment vertical="top"/>
    </xf>
    <xf numFmtId="3" fontId="4" fillId="2" borderId="39" xfId="3" applyNumberFormat="1" applyFont="1" applyFill="1" applyBorder="1"/>
    <xf numFmtId="164" fontId="4" fillId="2" borderId="39" xfId="3" applyNumberFormat="1" applyFont="1" applyFill="1" applyBorder="1"/>
    <xf numFmtId="3" fontId="14" fillId="2" borderId="39" xfId="0" applyNumberFormat="1" applyFont="1" applyFill="1" applyBorder="1"/>
    <xf numFmtId="3" fontId="4" fillId="2" borderId="0" xfId="3" applyNumberFormat="1" applyFont="1" applyFill="1"/>
    <xf numFmtId="3" fontId="14" fillId="2" borderId="15" xfId="0" applyNumberFormat="1" applyFont="1" applyFill="1" applyBorder="1"/>
    <xf numFmtId="164" fontId="4" fillId="2" borderId="12" xfId="3" applyNumberFormat="1" applyFont="1" applyFill="1" applyBorder="1"/>
    <xf numFmtId="164" fontId="4" fillId="2" borderId="23" xfId="3" applyNumberFormat="1" applyFont="1" applyFill="1" applyBorder="1"/>
    <xf numFmtId="3" fontId="14" fillId="2" borderId="19" xfId="0" applyNumberFormat="1" applyFont="1" applyFill="1" applyBorder="1"/>
    <xf numFmtId="3" fontId="4" fillId="2" borderId="15" xfId="0" applyNumberFormat="1" applyFont="1" applyFill="1" applyBorder="1" applyAlignment="1">
      <alignment horizontal="right"/>
    </xf>
    <xf numFmtId="164" fontId="4" fillId="2" borderId="15" xfId="0" applyNumberFormat="1" applyFont="1" applyFill="1" applyBorder="1" applyAlignment="1">
      <alignment horizontal="right"/>
    </xf>
    <xf numFmtId="3" fontId="4" fillId="2" borderId="4" xfId="0" applyNumberFormat="1" applyFont="1" applyFill="1" applyBorder="1"/>
    <xf numFmtId="164" fontId="4" fillId="2" borderId="4" xfId="0" applyNumberFormat="1" applyFont="1" applyFill="1" applyBorder="1"/>
    <xf numFmtId="3" fontId="4" fillId="2" borderId="39" xfId="0" applyNumberFormat="1" applyFont="1" applyFill="1" applyBorder="1"/>
    <xf numFmtId="164" fontId="4" fillId="2" borderId="39" xfId="0" applyNumberFormat="1" applyFont="1" applyFill="1" applyBorder="1"/>
    <xf numFmtId="3" fontId="19" fillId="2" borderId="20" xfId="0" applyNumberFormat="1" applyFont="1" applyFill="1" applyBorder="1"/>
    <xf numFmtId="164" fontId="19" fillId="2" borderId="20" xfId="0" applyNumberFormat="1" applyFont="1" applyFill="1" applyBorder="1"/>
    <xf numFmtId="49" fontId="4" fillId="2" borderId="0" xfId="2" applyNumberFormat="1" applyFont="1" applyFill="1" applyBorder="1" applyAlignment="1">
      <alignment horizontal="center"/>
    </xf>
    <xf numFmtId="49" fontId="4" fillId="0" borderId="39" xfId="3" applyNumberFormat="1" applyFont="1" applyBorder="1" applyAlignment="1">
      <alignment horizontal="center"/>
    </xf>
    <xf numFmtId="49" fontId="4" fillId="0" borderId="29" xfId="3" applyNumberFormat="1" applyFont="1" applyBorder="1" applyAlignment="1">
      <alignment horizontal="center"/>
    </xf>
    <xf numFmtId="49" fontId="4" fillId="2" borderId="8" xfId="2" applyNumberFormat="1" applyFont="1" applyFill="1" applyBorder="1" applyAlignment="1">
      <alignment horizontal="center"/>
    </xf>
    <xf numFmtId="49" fontId="5" fillId="2" borderId="14" xfId="0" applyNumberFormat="1" applyFont="1" applyFill="1" applyBorder="1" applyAlignment="1">
      <alignment horizontal="center"/>
    </xf>
    <xf numFmtId="49" fontId="5" fillId="2" borderId="8" xfId="0" applyNumberFormat="1" applyFont="1" applyFill="1" applyBorder="1" applyAlignment="1">
      <alignment horizontal="center"/>
    </xf>
    <xf numFmtId="49" fontId="6" fillId="2" borderId="51" xfId="0" applyNumberFormat="1" applyFont="1" applyFill="1" applyBorder="1" applyAlignment="1">
      <alignment horizontal="left"/>
    </xf>
    <xf numFmtId="49" fontId="8" fillId="2" borderId="29" xfId="2" applyNumberFormat="1" applyFont="1" applyFill="1" applyBorder="1" applyAlignment="1">
      <alignment horizontal="center"/>
    </xf>
    <xf numFmtId="49" fontId="8" fillId="2" borderId="11" xfId="2" applyNumberFormat="1" applyFont="1" applyFill="1" applyBorder="1" applyAlignment="1">
      <alignment horizontal="left"/>
    </xf>
    <xf numFmtId="49" fontId="8" fillId="2" borderId="8" xfId="2" applyNumberFormat="1" applyFont="1" applyFill="1" applyBorder="1" applyAlignment="1">
      <alignment horizontal="left"/>
    </xf>
    <xf numFmtId="49" fontId="4" fillId="2" borderId="29" xfId="2" applyNumberFormat="1" applyFont="1" applyFill="1" applyBorder="1" applyAlignment="1">
      <alignment horizontal="center"/>
    </xf>
    <xf numFmtId="0" fontId="8" fillId="2" borderId="0" xfId="2" applyFont="1" applyFill="1"/>
    <xf numFmtId="49" fontId="4" fillId="2" borderId="11" xfId="3" applyNumberFormat="1" applyFont="1" applyFill="1" applyBorder="1" applyAlignment="1">
      <alignment horizontal="center" wrapText="1"/>
    </xf>
    <xf numFmtId="49" fontId="4" fillId="2" borderId="44" xfId="3" applyNumberFormat="1" applyFont="1" applyFill="1" applyBorder="1" applyAlignment="1">
      <alignment horizontal="center" wrapText="1"/>
    </xf>
    <xf numFmtId="49" fontId="4" fillId="2" borderId="43" xfId="3" applyNumberFormat="1" applyFont="1" applyFill="1" applyBorder="1" applyAlignment="1">
      <alignment horizontal="center" wrapText="1"/>
    </xf>
    <xf numFmtId="49" fontId="6" fillId="2" borderId="24" xfId="3" applyNumberFormat="1" applyFont="1" applyFill="1" applyBorder="1" applyAlignment="1">
      <alignment horizontal="left"/>
    </xf>
    <xf numFmtId="49" fontId="9" fillId="2" borderId="11" xfId="0" applyNumberFormat="1" applyFont="1" applyFill="1" applyBorder="1" applyAlignment="1">
      <alignment horizontal="center"/>
    </xf>
    <xf numFmtId="49" fontId="9" fillId="2" borderId="3" xfId="0" applyNumberFormat="1" applyFont="1" applyFill="1" applyBorder="1" applyAlignment="1">
      <alignment horizontal="center"/>
    </xf>
    <xf numFmtId="49" fontId="9" fillId="2" borderId="46" xfId="0" applyNumberFormat="1" applyFont="1" applyFill="1" applyBorder="1" applyAlignment="1">
      <alignment horizontal="center"/>
    </xf>
    <xf numFmtId="49" fontId="8" fillId="2" borderId="11" xfId="3" applyNumberFormat="1" applyFont="1" applyFill="1" applyBorder="1" applyAlignment="1">
      <alignment horizontal="center" wrapText="1"/>
    </xf>
    <xf numFmtId="49" fontId="8" fillId="2" borderId="14" xfId="3" applyNumberFormat="1" applyFont="1" applyFill="1" applyBorder="1" applyAlignment="1">
      <alignment horizontal="center" wrapText="1"/>
    </xf>
    <xf numFmtId="4" fontId="4" fillId="0" borderId="20" xfId="2" applyNumberFormat="1" applyFont="1" applyFill="1" applyBorder="1" applyAlignment="1"/>
    <xf numFmtId="0" fontId="0" fillId="2" borderId="0" xfId="0" applyFill="1"/>
    <xf numFmtId="0" fontId="1" fillId="2" borderId="0" xfId="2" applyFill="1"/>
    <xf numFmtId="0" fontId="0" fillId="2" borderId="9" xfId="0" applyFill="1" applyBorder="1"/>
    <xf numFmtId="0" fontId="27" fillId="2" borderId="9" xfId="2" applyFont="1" applyFill="1" applyBorder="1"/>
    <xf numFmtId="49" fontId="4" fillId="0" borderId="22" xfId="2" applyNumberFormat="1" applyFont="1" applyBorder="1" applyAlignment="1">
      <alignment horizontal="center"/>
    </xf>
    <xf numFmtId="0" fontId="4" fillId="2" borderId="13" xfId="3" applyFont="1" applyFill="1" applyBorder="1" applyAlignment="1">
      <alignment vertical="center" wrapText="1"/>
    </xf>
    <xf numFmtId="0" fontId="13" fillId="0" borderId="4" xfId="3" applyFont="1" applyBorder="1" applyAlignment="1">
      <alignment wrapText="1"/>
    </xf>
    <xf numFmtId="3" fontId="14" fillId="2" borderId="17" xfId="0" applyNumberFormat="1" applyFont="1" applyFill="1" applyBorder="1"/>
    <xf numFmtId="0" fontId="8" fillId="2" borderId="0" xfId="0" applyFont="1" applyFill="1" applyBorder="1" applyAlignment="1">
      <alignment horizontal="center"/>
    </xf>
    <xf numFmtId="0" fontId="14" fillId="0" borderId="0" xfId="0" applyFont="1" applyAlignment="1">
      <alignment horizontal="right"/>
    </xf>
    <xf numFmtId="0" fontId="8" fillId="2" borderId="21" xfId="2" applyFont="1" applyFill="1" applyBorder="1" applyAlignment="1">
      <alignment horizontal="left"/>
    </xf>
    <xf numFmtId="0" fontId="8" fillId="2" borderId="10" xfId="2" applyFont="1" applyFill="1" applyBorder="1" applyAlignment="1">
      <alignment horizontal="left"/>
    </xf>
    <xf numFmtId="0" fontId="8" fillId="2" borderId="18" xfId="2" applyFont="1" applyFill="1" applyBorder="1" applyAlignment="1">
      <alignment horizontal="left"/>
    </xf>
    <xf numFmtId="0" fontId="8" fillId="2" borderId="19" xfId="2" applyFont="1" applyFill="1" applyBorder="1" applyAlignment="1">
      <alignment horizontal="left"/>
    </xf>
    <xf numFmtId="0" fontId="23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4" fillId="0" borderId="0" xfId="0" applyFont="1" applyAlignment="1">
      <alignment horizontal="center" vertical="center"/>
    </xf>
    <xf numFmtId="0" fontId="6" fillId="2" borderId="24" xfId="2" applyFont="1" applyFill="1" applyBorder="1"/>
    <xf numFmtId="0" fontId="6" fillId="2" borderId="35" xfId="2" applyFont="1" applyFill="1" applyBorder="1"/>
    <xf numFmtId="0" fontId="6" fillId="2" borderId="36" xfId="2" applyFont="1" applyFill="1" applyBorder="1"/>
    <xf numFmtId="49" fontId="6" fillId="0" borderId="24" xfId="2" applyNumberFormat="1" applyFont="1" applyBorder="1" applyAlignment="1">
      <alignment horizontal="left"/>
    </xf>
    <xf numFmtId="0" fontId="6" fillId="0" borderId="35" xfId="2" applyFont="1" applyBorder="1"/>
    <xf numFmtId="0" fontId="6" fillId="0" borderId="36" xfId="2" applyFont="1" applyBorder="1"/>
    <xf numFmtId="49" fontId="8" fillId="0" borderId="21" xfId="2" applyNumberFormat="1" applyFont="1" applyFill="1" applyBorder="1" applyAlignment="1" applyProtection="1">
      <alignment horizontal="left"/>
      <protection locked="0"/>
    </xf>
    <xf numFmtId="0" fontId="19" fillId="0" borderId="19" xfId="0" applyFont="1" applyFill="1" applyBorder="1" applyAlignment="1">
      <alignment horizontal="left"/>
    </xf>
    <xf numFmtId="2" fontId="8" fillId="0" borderId="34" xfId="0" applyNumberFormat="1" applyFont="1" applyFill="1" applyBorder="1" applyAlignment="1">
      <alignment horizontal="right"/>
    </xf>
    <xf numFmtId="2" fontId="8" fillId="0" borderId="5" xfId="0" applyNumberFormat="1" applyFont="1" applyFill="1" applyBorder="1" applyAlignment="1">
      <alignment horizontal="right"/>
    </xf>
    <xf numFmtId="2" fontId="8" fillId="0" borderId="20" xfId="0" applyNumberFormat="1" applyFont="1" applyFill="1" applyBorder="1" applyAlignment="1">
      <alignment horizontal="right"/>
    </xf>
    <xf numFmtId="0" fontId="26" fillId="0" borderId="0" xfId="0" applyFont="1" applyFill="1" applyAlignment="1">
      <alignment horizontal="center"/>
    </xf>
    <xf numFmtId="0" fontId="8" fillId="2" borderId="20" xfId="2" applyFont="1" applyFill="1" applyBorder="1" applyAlignment="1">
      <alignment horizontal="left"/>
    </xf>
    <xf numFmtId="49" fontId="8" fillId="2" borderId="10" xfId="2" applyNumberFormat="1" applyFont="1" applyFill="1" applyBorder="1" applyAlignment="1">
      <alignment horizontal="left"/>
    </xf>
    <xf numFmtId="0" fontId="8" fillId="2" borderId="15" xfId="2" applyFont="1" applyFill="1" applyBorder="1" applyAlignment="1">
      <alignment horizontal="left"/>
    </xf>
    <xf numFmtId="0" fontId="6" fillId="2" borderId="24" xfId="0" applyFont="1" applyFill="1" applyBorder="1"/>
    <xf numFmtId="0" fontId="6" fillId="2" borderId="35" xfId="0" applyFont="1" applyFill="1" applyBorder="1"/>
    <xf numFmtId="0" fontId="6" fillId="2" borderId="36" xfId="0" applyFont="1" applyFill="1" applyBorder="1"/>
    <xf numFmtId="4" fontId="4" fillId="2" borderId="34" xfId="0" applyNumberFormat="1" applyFont="1" applyFill="1" applyBorder="1" applyAlignment="1">
      <alignment horizontal="right"/>
    </xf>
    <xf numFmtId="4" fontId="4" fillId="2" borderId="41" xfId="0" applyNumberFormat="1" applyFont="1" applyFill="1" applyBorder="1" applyAlignment="1">
      <alignment horizontal="right"/>
    </xf>
    <xf numFmtId="3" fontId="4" fillId="2" borderId="13" xfId="2" applyNumberFormat="1" applyFont="1" applyFill="1" applyBorder="1" applyAlignment="1">
      <alignment horizontal="right"/>
    </xf>
    <xf numFmtId="3" fontId="4" fillId="2" borderId="15" xfId="2" applyNumberFormat="1" applyFont="1" applyFill="1" applyBorder="1" applyAlignment="1">
      <alignment horizontal="right"/>
    </xf>
    <xf numFmtId="49" fontId="4" fillId="2" borderId="14" xfId="2" applyNumberFormat="1" applyFont="1" applyFill="1" applyBorder="1" applyAlignment="1">
      <alignment horizontal="center"/>
    </xf>
    <xf numFmtId="49" fontId="4" fillId="2" borderId="8" xfId="2" applyNumberFormat="1" applyFont="1" applyFill="1" applyBorder="1" applyAlignment="1">
      <alignment horizontal="center"/>
    </xf>
    <xf numFmtId="0" fontId="6" fillId="2" borderId="25" xfId="2" applyFont="1" applyFill="1" applyBorder="1"/>
    <xf numFmtId="0" fontId="6" fillId="2" borderId="26" xfId="2" applyFont="1" applyFill="1" applyBorder="1"/>
    <xf numFmtId="0" fontId="4" fillId="2" borderId="13" xfId="2" applyFont="1" applyFill="1" applyBorder="1" applyAlignment="1">
      <alignment horizontal="left" wrapText="1"/>
    </xf>
    <xf numFmtId="0" fontId="4" fillId="2" borderId="15" xfId="2" applyFont="1" applyFill="1" applyBorder="1" applyAlignment="1">
      <alignment horizontal="left" wrapText="1"/>
    </xf>
    <xf numFmtId="0" fontId="4" fillId="2" borderId="13" xfId="2" applyFont="1" applyFill="1" applyBorder="1" applyAlignment="1">
      <alignment horizontal="left"/>
    </xf>
    <xf numFmtId="0" fontId="4" fillId="2" borderId="15" xfId="2" applyFont="1" applyFill="1" applyBorder="1" applyAlignment="1">
      <alignment horizontal="left"/>
    </xf>
    <xf numFmtId="49" fontId="4" fillId="2" borderId="13" xfId="2" applyNumberFormat="1" applyFont="1" applyFill="1" applyBorder="1" applyAlignment="1">
      <alignment horizontal="center"/>
    </xf>
    <xf numFmtId="49" fontId="4" fillId="2" borderId="15" xfId="2" applyNumberFormat="1" applyFont="1" applyFill="1" applyBorder="1" applyAlignment="1">
      <alignment horizontal="center"/>
    </xf>
    <xf numFmtId="4" fontId="4" fillId="2" borderId="13" xfId="2" applyNumberFormat="1" applyFont="1" applyFill="1" applyBorder="1" applyAlignment="1">
      <alignment horizontal="right"/>
    </xf>
    <xf numFmtId="4" fontId="4" fillId="2" borderId="15" xfId="2" applyNumberFormat="1" applyFont="1" applyFill="1" applyBorder="1" applyAlignment="1">
      <alignment horizontal="right"/>
    </xf>
    <xf numFmtId="0" fontId="8" fillId="2" borderId="21" xfId="0" applyFont="1" applyFill="1" applyBorder="1"/>
    <xf numFmtId="0" fontId="8" fillId="2" borderId="10" xfId="0" applyFont="1" applyFill="1" applyBorder="1"/>
    <xf numFmtId="0" fontId="8" fillId="2" borderId="16" xfId="0" applyFont="1" applyFill="1" applyBorder="1"/>
    <xf numFmtId="0" fontId="6" fillId="0" borderId="0" xfId="0" applyFont="1"/>
    <xf numFmtId="49" fontId="8" fillId="0" borderId="21" xfId="2" applyNumberFormat="1" applyFont="1" applyBorder="1" applyAlignment="1">
      <alignment horizontal="left"/>
    </xf>
    <xf numFmtId="49" fontId="8" fillId="0" borderId="19" xfId="2" applyNumberFormat="1" applyFont="1" applyBorder="1" applyAlignment="1">
      <alignment horizontal="left"/>
    </xf>
    <xf numFmtId="0" fontId="6" fillId="0" borderId="24" xfId="2" applyFont="1" applyBorder="1"/>
    <xf numFmtId="164" fontId="4" fillId="2" borderId="13" xfId="0" applyNumberFormat="1" applyFont="1" applyFill="1" applyBorder="1" applyAlignment="1">
      <alignment horizontal="right"/>
    </xf>
    <xf numFmtId="164" fontId="4" fillId="2" borderId="15" xfId="0" applyNumberFormat="1" applyFont="1" applyFill="1" applyBorder="1" applyAlignment="1">
      <alignment horizontal="right"/>
    </xf>
    <xf numFmtId="3" fontId="4" fillId="2" borderId="13" xfId="0" applyNumberFormat="1" applyFont="1" applyFill="1" applyBorder="1" applyAlignment="1">
      <alignment horizontal="right"/>
    </xf>
    <xf numFmtId="3" fontId="4" fillId="2" borderId="15" xfId="0" applyNumberFormat="1" applyFont="1" applyFill="1" applyBorder="1" applyAlignment="1">
      <alignment horizontal="right"/>
    </xf>
    <xf numFmtId="0" fontId="8" fillId="2" borderId="18" xfId="0" applyFont="1" applyFill="1" applyBorder="1"/>
    <xf numFmtId="0" fontId="8" fillId="2" borderId="19" xfId="0" applyFont="1" applyFill="1" applyBorder="1"/>
    <xf numFmtId="0" fontId="6" fillId="2" borderId="0" xfId="0" applyFont="1" applyFill="1" applyAlignment="1">
      <alignment horizontal="left"/>
    </xf>
    <xf numFmtId="0" fontId="6" fillId="2" borderId="31" xfId="0" applyFont="1" applyFill="1" applyBorder="1" applyAlignment="1">
      <alignment horizontal="left"/>
    </xf>
    <xf numFmtId="49" fontId="5" fillId="2" borderId="14" xfId="0" applyNumberFormat="1" applyFont="1" applyFill="1" applyBorder="1" applyAlignment="1">
      <alignment horizontal="center"/>
    </xf>
    <xf numFmtId="49" fontId="5" fillId="2" borderId="8" xfId="0" applyNumberFormat="1" applyFont="1" applyFill="1" applyBorder="1" applyAlignment="1">
      <alignment horizontal="center"/>
    </xf>
    <xf numFmtId="49" fontId="5" fillId="2" borderId="13" xfId="0" applyNumberFormat="1" applyFont="1" applyFill="1" applyBorder="1" applyAlignment="1">
      <alignment horizontal="center"/>
    </xf>
    <xf numFmtId="49" fontId="5" fillId="2" borderId="15" xfId="0" applyNumberFormat="1" applyFont="1" applyFill="1" applyBorder="1" applyAlignment="1">
      <alignment horizontal="center"/>
    </xf>
    <xf numFmtId="0" fontId="5" fillId="2" borderId="13" xfId="0" applyFont="1" applyFill="1" applyBorder="1" applyAlignment="1">
      <alignment horizontal="center"/>
    </xf>
    <xf numFmtId="0" fontId="5" fillId="2" borderId="15" xfId="0" applyFont="1" applyFill="1" applyBorder="1" applyAlignment="1">
      <alignment horizontal="center"/>
    </xf>
    <xf numFmtId="0" fontId="6" fillId="2" borderId="0" xfId="1" applyFont="1" applyFill="1"/>
    <xf numFmtId="0" fontId="16" fillId="2" borderId="0" xfId="1" applyFont="1" applyFill="1"/>
    <xf numFmtId="49" fontId="8" fillId="2" borderId="15" xfId="2" applyNumberFormat="1" applyFont="1" applyFill="1" applyBorder="1" applyAlignment="1">
      <alignment horizontal="left"/>
    </xf>
  </cellXfs>
  <cellStyles count="6">
    <cellStyle name="Čárka" xfId="4" builtinId="3"/>
    <cellStyle name="Normální" xfId="0" builtinId="0"/>
    <cellStyle name="Normální 11" xfId="5" xr:uid="{00000000-0005-0000-0000-000002000000}"/>
    <cellStyle name="normální 2" xfId="2" xr:uid="{00000000-0005-0000-0000-000003000000}"/>
    <cellStyle name="Normální 3" xfId="3" xr:uid="{00000000-0005-0000-0000-000004000000}"/>
    <cellStyle name="normální_Rozbory 2014" xfId="1" xr:uid="{00000000-0005-0000-0000-000005000000}"/>
  </cellStyles>
  <dxfs count="0"/>
  <tableStyles count="0" defaultTableStyle="TableStyleMedium9" defaultPivotStyle="PivotStyleLight16"/>
  <colors>
    <mruColors>
      <color rgb="FFFF7C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ROZBORY%202009%20-%202021/Rozbory%202021/Celorok%202021/KW%20pln&#283;n&#237;%20rozpo&#269;tu%20k%2031.12.2021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p08x3565\Desktop\pln&#283;n&#237;%20rozpo&#269;tu%20k%2031.12.2021%20p&#345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ap.01"/>
      <sheetName val="Kap.02"/>
      <sheetName val="Kap. 03"/>
      <sheetName val="Kap. 04"/>
      <sheetName val="Kap. 05"/>
      <sheetName val="Kap. 06"/>
      <sheetName val="Kap. 07"/>
      <sheetName val="Kap. 08"/>
      <sheetName val="Kap. 09"/>
      <sheetName val="Kap. 10"/>
    </sheetNames>
    <sheetDataSet>
      <sheetData sheetId="0">
        <row r="14">
          <cell r="F14">
            <v>44561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ap.01"/>
      <sheetName val="Kap.02"/>
      <sheetName val="Kap. 03"/>
      <sheetName val="Kap. 04"/>
      <sheetName val="Kap. 05"/>
      <sheetName val="Kap. 06"/>
      <sheetName val="Kap. 07"/>
      <sheetName val="Kap. 08"/>
      <sheetName val="Kap. 09"/>
      <sheetName val="Kap. 10"/>
    </sheetNames>
    <sheetDataSet>
      <sheetData sheetId="0">
        <row r="14">
          <cell r="F14">
            <v>44561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47"/>
  <sheetViews>
    <sheetView tabSelected="1" workbookViewId="0">
      <selection activeCell="F1" sqref="F1"/>
    </sheetView>
  </sheetViews>
  <sheetFormatPr defaultColWidth="9.140625" defaultRowHeight="12.75" x14ac:dyDescent="0.2"/>
  <cols>
    <col min="1" max="1" width="11" style="315" customWidth="1"/>
    <col min="2" max="2" width="10.28515625" style="315" customWidth="1"/>
    <col min="3" max="3" width="59.28515625" style="315" customWidth="1"/>
    <col min="4" max="4" width="29.85546875" style="315" customWidth="1"/>
    <col min="5" max="5" width="13.140625" style="315" customWidth="1"/>
    <col min="6" max="6" width="16.42578125" style="315" customWidth="1"/>
    <col min="7" max="7" width="12.5703125" style="315" customWidth="1"/>
    <col min="8" max="8" width="11.28515625" style="315" customWidth="1"/>
    <col min="9" max="9" width="9.42578125" style="315" customWidth="1"/>
    <col min="10" max="16384" width="9.140625" style="315"/>
  </cols>
  <sheetData>
    <row r="1" spans="1:10" ht="15" x14ac:dyDescent="0.25">
      <c r="F1" s="992" t="s">
        <v>661</v>
      </c>
      <c r="G1" s="992"/>
      <c r="H1" s="992"/>
      <c r="I1" s="993"/>
    </row>
    <row r="2" spans="1:10" ht="15" x14ac:dyDescent="0.25">
      <c r="F2" s="992" t="s">
        <v>659</v>
      </c>
      <c r="G2" s="992"/>
      <c r="H2" s="992"/>
      <c r="I2" s="993"/>
    </row>
    <row r="3" spans="1:10" ht="15" x14ac:dyDescent="0.25">
      <c r="F3" s="994" t="s">
        <v>660</v>
      </c>
      <c r="G3" s="994"/>
      <c r="H3" s="994"/>
      <c r="I3" s="995"/>
    </row>
    <row r="4" spans="1:10" x14ac:dyDescent="0.2">
      <c r="G4" s="1001"/>
      <c r="H4" s="1001"/>
      <c r="I4" s="1001"/>
    </row>
    <row r="5" spans="1:10" customFormat="1" ht="20.25" x14ac:dyDescent="0.25">
      <c r="A5" s="1006" t="s">
        <v>619</v>
      </c>
      <c r="B5" s="1006"/>
      <c r="C5" s="1006"/>
      <c r="D5" s="1006"/>
      <c r="E5" s="1006"/>
      <c r="F5" s="1006"/>
      <c r="G5" s="1006"/>
      <c r="H5" s="1006"/>
      <c r="I5" s="1006"/>
    </row>
    <row r="6" spans="1:10" customFormat="1" ht="15" x14ac:dyDescent="0.25"/>
    <row r="7" spans="1:10" customFormat="1" ht="15.75" x14ac:dyDescent="0.25">
      <c r="A7" s="1007" t="s">
        <v>658</v>
      </c>
      <c r="B7" s="1007"/>
      <c r="C7" s="1007"/>
      <c r="D7" s="1007"/>
      <c r="E7" s="1007"/>
      <c r="F7" s="1007"/>
      <c r="G7" s="1007"/>
      <c r="H7" s="1007"/>
      <c r="I7" s="1007"/>
    </row>
    <row r="8" spans="1:10" customFormat="1" ht="15.75" x14ac:dyDescent="0.25">
      <c r="A8" s="1008" t="s">
        <v>451</v>
      </c>
      <c r="B8" s="1008"/>
      <c r="C8" s="1008"/>
      <c r="D8" s="1008"/>
      <c r="E8" s="1008"/>
      <c r="F8" s="1008"/>
      <c r="G8" s="1008"/>
      <c r="H8" s="1008"/>
      <c r="I8" s="1008"/>
    </row>
    <row r="9" spans="1:10" customFormat="1" ht="15.75" x14ac:dyDescent="0.25">
      <c r="A9" s="1008" t="s">
        <v>452</v>
      </c>
      <c r="B9" s="1008"/>
      <c r="C9" s="1008"/>
      <c r="D9" s="1008"/>
      <c r="E9" s="1008"/>
      <c r="F9" s="1008"/>
      <c r="G9" s="1008"/>
      <c r="H9" s="1008"/>
      <c r="I9" s="1008"/>
    </row>
    <row r="10" spans="1:10" customFormat="1" ht="15.75" x14ac:dyDescent="0.25">
      <c r="A10" s="1008" t="s">
        <v>453</v>
      </c>
      <c r="B10" s="1008"/>
      <c r="C10" s="1008"/>
      <c r="D10" s="1008"/>
      <c r="E10" s="1008"/>
      <c r="F10" s="1008"/>
      <c r="G10" s="1008"/>
      <c r="H10" s="1008"/>
      <c r="I10" s="1008"/>
    </row>
    <row r="11" spans="1:10" s="314" customFormat="1" ht="15.75" x14ac:dyDescent="0.25">
      <c r="A11" s="749" t="s">
        <v>0</v>
      </c>
      <c r="B11" s="833"/>
      <c r="C11" s="749"/>
      <c r="D11" s="833"/>
      <c r="E11" s="486"/>
      <c r="F11" s="486"/>
      <c r="G11" s="486"/>
      <c r="H11" s="486"/>
      <c r="I11" s="486"/>
      <c r="J11" s="486"/>
    </row>
    <row r="12" spans="1:10" ht="15.75" thickBot="1" x14ac:dyDescent="0.3">
      <c r="A12" s="834"/>
      <c r="B12" s="547"/>
      <c r="C12" s="477"/>
      <c r="D12" s="824"/>
      <c r="E12" s="477"/>
      <c r="F12" s="477"/>
      <c r="G12" s="477"/>
      <c r="H12" s="477"/>
      <c r="I12" s="739" t="s">
        <v>606</v>
      </c>
      <c r="J12" s="477"/>
    </row>
    <row r="13" spans="1:10" ht="15" customHeight="1" x14ac:dyDescent="0.2">
      <c r="A13" s="6" t="s">
        <v>1</v>
      </c>
      <c r="B13" s="3" t="s">
        <v>2</v>
      </c>
      <c r="C13" s="291" t="s">
        <v>3</v>
      </c>
      <c r="D13" s="504"/>
      <c r="E13" s="3" t="s">
        <v>4</v>
      </c>
      <c r="F13" s="3" t="s">
        <v>372</v>
      </c>
      <c r="G13" s="3" t="s">
        <v>306</v>
      </c>
      <c r="H13" s="51" t="s">
        <v>373</v>
      </c>
      <c r="I13" s="76" t="s">
        <v>373</v>
      </c>
      <c r="J13" s="477"/>
    </row>
    <row r="14" spans="1:10" ht="15" customHeight="1" x14ac:dyDescent="0.2">
      <c r="A14" s="7" t="s">
        <v>5</v>
      </c>
      <c r="B14" s="4" t="s">
        <v>6</v>
      </c>
      <c r="C14" s="293" t="s">
        <v>7</v>
      </c>
      <c r="D14" s="8" t="s">
        <v>8</v>
      </c>
      <c r="E14" s="4" t="s">
        <v>242</v>
      </c>
      <c r="F14" s="4" t="s">
        <v>374</v>
      </c>
      <c r="G14" s="4" t="s">
        <v>307</v>
      </c>
      <c r="H14" s="52" t="s">
        <v>375</v>
      </c>
      <c r="I14" s="77" t="s">
        <v>376</v>
      </c>
      <c r="J14" s="477"/>
    </row>
    <row r="15" spans="1:10" ht="13.5" customHeight="1" thickBot="1" x14ac:dyDescent="0.25">
      <c r="A15" s="7" t="s">
        <v>9</v>
      </c>
      <c r="B15" s="4" t="s">
        <v>10</v>
      </c>
      <c r="C15" s="293"/>
      <c r="D15" s="8"/>
      <c r="E15" s="5" t="s">
        <v>293</v>
      </c>
      <c r="F15" s="43">
        <v>44561</v>
      </c>
      <c r="G15" s="338">
        <f>F15</f>
        <v>44561</v>
      </c>
      <c r="H15" s="53" t="s">
        <v>220</v>
      </c>
      <c r="I15" s="78" t="s">
        <v>220</v>
      </c>
      <c r="J15" s="477"/>
    </row>
    <row r="16" spans="1:10" s="314" customFormat="1" ht="15.75" customHeight="1" x14ac:dyDescent="0.25">
      <c r="A16" s="9" t="s">
        <v>11</v>
      </c>
      <c r="B16" s="10"/>
      <c r="C16" s="768"/>
      <c r="D16" s="769"/>
      <c r="E16" s="835"/>
      <c r="F16" s="835"/>
      <c r="G16" s="835"/>
      <c r="H16" s="835"/>
      <c r="I16" s="666"/>
      <c r="J16" s="486"/>
    </row>
    <row r="17" spans="1:10" x14ac:dyDescent="0.2">
      <c r="A17" s="31" t="s">
        <v>278</v>
      </c>
      <c r="B17" s="742" t="s">
        <v>277</v>
      </c>
      <c r="C17" s="746"/>
      <c r="D17" s="742"/>
      <c r="E17" s="721">
        <f>SUM(E18:E18)</f>
        <v>100</v>
      </c>
      <c r="F17" s="720">
        <f>SUM(F18:F18)</f>
        <v>100</v>
      </c>
      <c r="G17" s="721">
        <f>SUM(G18:G18)</f>
        <v>0</v>
      </c>
      <c r="H17" s="538">
        <f>(G17/E17)*100</f>
        <v>0</v>
      </c>
      <c r="I17" s="537">
        <f>(G17/F17)*100</f>
        <v>0</v>
      </c>
      <c r="J17" s="477"/>
    </row>
    <row r="18" spans="1:10" x14ac:dyDescent="0.2">
      <c r="A18" s="88"/>
      <c r="B18" s="89"/>
      <c r="C18" s="761" t="s">
        <v>232</v>
      </c>
      <c r="D18" s="761" t="s">
        <v>12</v>
      </c>
      <c r="E18" s="853">
        <v>100</v>
      </c>
      <c r="F18" s="854">
        <v>100</v>
      </c>
      <c r="G18" s="853">
        <v>0</v>
      </c>
      <c r="H18" s="531">
        <f t="shared" ref="H18:H27" si="0">(G18/E18)*100</f>
        <v>0</v>
      </c>
      <c r="I18" s="517">
        <f t="shared" ref="I18:I27" si="1">(G18/F18)*100</f>
        <v>0</v>
      </c>
      <c r="J18" s="477"/>
    </row>
    <row r="19" spans="1:10" x14ac:dyDescent="0.2">
      <c r="A19" s="88"/>
      <c r="B19" s="89"/>
      <c r="C19" s="761"/>
      <c r="D19" s="836"/>
      <c r="E19" s="855"/>
      <c r="F19" s="856"/>
      <c r="G19" s="855"/>
      <c r="H19" s="531"/>
      <c r="I19" s="517"/>
      <c r="J19" s="477"/>
    </row>
    <row r="20" spans="1:10" x14ac:dyDescent="0.2">
      <c r="A20" s="79" t="s">
        <v>13</v>
      </c>
      <c r="B20" s="1004" t="s">
        <v>217</v>
      </c>
      <c r="C20" s="1004"/>
      <c r="D20" s="1005"/>
      <c r="E20" s="80">
        <f>E21+E25</f>
        <v>5449</v>
      </c>
      <c r="F20" s="857">
        <f t="shared" ref="F20" si="2">F21+F25</f>
        <v>5283.8</v>
      </c>
      <c r="G20" s="80">
        <f>G21+G25</f>
        <v>4569</v>
      </c>
      <c r="H20" s="538">
        <f>(G20/E20)*100</f>
        <v>83.850247751881085</v>
      </c>
      <c r="I20" s="537">
        <f>(G20/F20)*100</f>
        <v>86.471857375373787</v>
      </c>
      <c r="J20" s="480"/>
    </row>
    <row r="21" spans="1:10" x14ac:dyDescent="0.2">
      <c r="A21" s="79"/>
      <c r="B21" s="740"/>
      <c r="C21" s="519"/>
      <c r="D21" s="741"/>
      <c r="E21" s="80">
        <f>SUM(E22:E23)</f>
        <v>339</v>
      </c>
      <c r="F21" s="857">
        <f>SUM(F22:F23)</f>
        <v>339</v>
      </c>
      <c r="G21" s="80">
        <f>SUM(G22:G23)</f>
        <v>277</v>
      </c>
      <c r="H21" s="538">
        <f>(G21/E21)*100</f>
        <v>81.710914454277287</v>
      </c>
      <c r="I21" s="537">
        <f>(G21/F21)*100</f>
        <v>81.710914454277287</v>
      </c>
      <c r="J21" s="480"/>
    </row>
    <row r="22" spans="1:10" x14ac:dyDescent="0.2">
      <c r="A22" s="829"/>
      <c r="B22" s="728"/>
      <c r="C22" s="761" t="s">
        <v>14</v>
      </c>
      <c r="D22" s="761" t="s">
        <v>12</v>
      </c>
      <c r="E22" s="853">
        <v>48</v>
      </c>
      <c r="F22" s="854">
        <v>48</v>
      </c>
      <c r="G22" s="853">
        <v>0</v>
      </c>
      <c r="H22" s="531">
        <f t="shared" si="0"/>
        <v>0</v>
      </c>
      <c r="I22" s="517">
        <f t="shared" si="1"/>
        <v>0</v>
      </c>
      <c r="J22" s="480"/>
    </row>
    <row r="23" spans="1:10" x14ac:dyDescent="0.2">
      <c r="A23" s="81"/>
      <c r="B23" s="761"/>
      <c r="C23" s="761" t="s">
        <v>15</v>
      </c>
      <c r="D23" s="761" t="s">
        <v>12</v>
      </c>
      <c r="E23" s="853">
        <v>291</v>
      </c>
      <c r="F23" s="854">
        <v>291</v>
      </c>
      <c r="G23" s="853">
        <v>277</v>
      </c>
      <c r="H23" s="531">
        <f>(G23/E23)*100</f>
        <v>95.189003436426106</v>
      </c>
      <c r="I23" s="517">
        <f>(G23/F23)*100</f>
        <v>95.189003436426106</v>
      </c>
      <c r="J23" s="480"/>
    </row>
    <row r="24" spans="1:10" x14ac:dyDescent="0.2">
      <c r="A24" s="745"/>
      <c r="B24" s="761"/>
      <c r="C24" s="761"/>
      <c r="D24" s="761"/>
      <c r="E24" s="853"/>
      <c r="F24" s="854"/>
      <c r="G24" s="853"/>
      <c r="H24" s="531"/>
      <c r="I24" s="517"/>
      <c r="J24" s="480"/>
    </row>
    <row r="25" spans="1:10" x14ac:dyDescent="0.2">
      <c r="A25" s="745"/>
      <c r="B25" s="761"/>
      <c r="C25" s="519" t="s">
        <v>289</v>
      </c>
      <c r="D25" s="837"/>
      <c r="E25" s="855">
        <f>E26+E27</f>
        <v>5110</v>
      </c>
      <c r="F25" s="856">
        <f>F26+F27</f>
        <v>4944.8</v>
      </c>
      <c r="G25" s="855">
        <f>G26+G27</f>
        <v>4292</v>
      </c>
      <c r="H25" s="538">
        <f t="shared" si="0"/>
        <v>83.992172211350294</v>
      </c>
      <c r="I25" s="537">
        <f t="shared" si="1"/>
        <v>86.798252709917492</v>
      </c>
      <c r="J25" s="480"/>
    </row>
    <row r="26" spans="1:10" x14ac:dyDescent="0.2">
      <c r="A26" s="745"/>
      <c r="B26" s="761"/>
      <c r="C26" s="509" t="s">
        <v>288</v>
      </c>
      <c r="D26" s="808" t="s">
        <v>12</v>
      </c>
      <c r="E26" s="677">
        <v>4110</v>
      </c>
      <c r="F26" s="449">
        <v>4029.8</v>
      </c>
      <c r="G26" s="677">
        <v>3953</v>
      </c>
      <c r="H26" s="531">
        <f t="shared" si="0"/>
        <v>96.180048661800484</v>
      </c>
      <c r="I26" s="517">
        <f t="shared" si="1"/>
        <v>98.094198223236887</v>
      </c>
      <c r="J26" s="480"/>
    </row>
    <row r="27" spans="1:10" ht="13.5" thickBot="1" x14ac:dyDescent="0.25">
      <c r="A27" s="82"/>
      <c r="B27" s="764"/>
      <c r="C27" s="764" t="s">
        <v>467</v>
      </c>
      <c r="D27" s="808" t="s">
        <v>12</v>
      </c>
      <c r="E27" s="677">
        <v>1000</v>
      </c>
      <c r="F27" s="449">
        <v>915</v>
      </c>
      <c r="G27" s="677">
        <v>339</v>
      </c>
      <c r="H27" s="533">
        <f t="shared" si="0"/>
        <v>33.900000000000006</v>
      </c>
      <c r="I27" s="532">
        <f t="shared" si="1"/>
        <v>37.049180327868854</v>
      </c>
      <c r="J27" s="480"/>
    </row>
    <row r="28" spans="1:10" s="314" customFormat="1" ht="16.5" thickBot="1" x14ac:dyDescent="0.3">
      <c r="A28" s="83" t="s">
        <v>16</v>
      </c>
      <c r="B28" s="838"/>
      <c r="C28" s="484"/>
      <c r="D28" s="484"/>
      <c r="E28" s="421">
        <f>E17+E20</f>
        <v>5549</v>
      </c>
      <c r="F28" s="440">
        <f>F17+F20</f>
        <v>5383.8</v>
      </c>
      <c r="G28" s="421">
        <f>G17+G20</f>
        <v>4569</v>
      </c>
      <c r="H28" s="416">
        <f>(G28/E28)*100</f>
        <v>82.339160209046682</v>
      </c>
      <c r="I28" s="420">
        <f>(G28/F28)*100</f>
        <v>84.865708235818559</v>
      </c>
      <c r="J28" s="486"/>
    </row>
    <row r="29" spans="1:10" ht="13.5" thickBot="1" x14ac:dyDescent="0.25">
      <c r="A29" s="90"/>
      <c r="B29" s="477"/>
      <c r="C29" s="1"/>
      <c r="D29" s="477"/>
      <c r="E29" s="91"/>
      <c r="F29" s="91"/>
      <c r="G29" s="96"/>
      <c r="H29" s="96"/>
      <c r="I29" s="92"/>
      <c r="J29" s="477"/>
    </row>
    <row r="30" spans="1:10" ht="16.5" customHeight="1" x14ac:dyDescent="0.2">
      <c r="A30" s="6" t="s">
        <v>1</v>
      </c>
      <c r="B30" s="3" t="s">
        <v>2</v>
      </c>
      <c r="C30" s="291" t="s">
        <v>3</v>
      </c>
      <c r="D30" s="504"/>
      <c r="E30" s="51" t="s">
        <v>4</v>
      </c>
      <c r="F30" s="51" t="s">
        <v>372</v>
      </c>
      <c r="G30" s="51" t="s">
        <v>306</v>
      </c>
      <c r="H30" s="51" t="s">
        <v>373</v>
      </c>
      <c r="I30" s="76" t="s">
        <v>373</v>
      </c>
      <c r="J30" s="477"/>
    </row>
    <row r="31" spans="1:10" ht="15" customHeight="1" x14ac:dyDescent="0.2">
      <c r="A31" s="7" t="s">
        <v>5</v>
      </c>
      <c r="B31" s="4" t="s">
        <v>6</v>
      </c>
      <c r="C31" s="293" t="s">
        <v>7</v>
      </c>
      <c r="D31" s="8" t="s">
        <v>8</v>
      </c>
      <c r="E31" s="52" t="s">
        <v>242</v>
      </c>
      <c r="F31" s="52" t="s">
        <v>374</v>
      </c>
      <c r="G31" s="52" t="s">
        <v>307</v>
      </c>
      <c r="H31" s="52" t="s">
        <v>375</v>
      </c>
      <c r="I31" s="77" t="s">
        <v>376</v>
      </c>
      <c r="J31" s="477"/>
    </row>
    <row r="32" spans="1:10" ht="15.75" customHeight="1" thickBot="1" x14ac:dyDescent="0.25">
      <c r="A32" s="54" t="s">
        <v>9</v>
      </c>
      <c r="B32" s="5" t="s">
        <v>10</v>
      </c>
      <c r="C32" s="317"/>
      <c r="D32" s="16"/>
      <c r="E32" s="503" t="s">
        <v>293</v>
      </c>
      <c r="F32" s="338">
        <f>F15</f>
        <v>44561</v>
      </c>
      <c r="G32" s="338">
        <f>F32</f>
        <v>44561</v>
      </c>
      <c r="H32" s="53" t="s">
        <v>220</v>
      </c>
      <c r="I32" s="78" t="s">
        <v>220</v>
      </c>
      <c r="J32" s="477"/>
    </row>
    <row r="33" spans="1:10" s="314" customFormat="1" ht="15.75" x14ac:dyDescent="0.25">
      <c r="A33" s="46" t="s">
        <v>310</v>
      </c>
      <c r="B33" s="97"/>
      <c r="C33" s="502"/>
      <c r="D33" s="501"/>
      <c r="E33" s="499"/>
      <c r="F33" s="500"/>
      <c r="G33" s="499"/>
      <c r="H33" s="498"/>
      <c r="I33" s="497"/>
      <c r="J33" s="486"/>
    </row>
    <row r="34" spans="1:10" ht="12.75" customHeight="1" x14ac:dyDescent="0.2">
      <c r="A34" s="47" t="s">
        <v>278</v>
      </c>
      <c r="B34" s="1002" t="s">
        <v>281</v>
      </c>
      <c r="C34" s="1003"/>
      <c r="D34" s="832"/>
      <c r="E34" s="858">
        <f>E35+E36+E37</f>
        <v>120</v>
      </c>
      <c r="F34" s="859">
        <f>F35+F36+F37</f>
        <v>120</v>
      </c>
      <c r="G34" s="858">
        <f>G35+G36+G37</f>
        <v>63</v>
      </c>
      <c r="H34" s="538">
        <f>(G34/E34)*100</f>
        <v>52.5</v>
      </c>
      <c r="I34" s="839">
        <f>(H34/F34)*100</f>
        <v>43.75</v>
      </c>
      <c r="J34" s="477"/>
    </row>
    <row r="35" spans="1:10" ht="12.75" customHeight="1" x14ac:dyDescent="0.2">
      <c r="A35" s="304" t="s">
        <v>278</v>
      </c>
      <c r="B35" s="39" t="s">
        <v>319</v>
      </c>
      <c r="C35" s="615" t="s">
        <v>316</v>
      </c>
      <c r="D35" s="615" t="s">
        <v>520</v>
      </c>
      <c r="E35" s="860">
        <v>40</v>
      </c>
      <c r="F35" s="861">
        <v>40</v>
      </c>
      <c r="G35" s="711">
        <v>21</v>
      </c>
      <c r="H35" s="531">
        <f>G35/E35*100</f>
        <v>52.5</v>
      </c>
      <c r="I35" s="840">
        <f>G35/F35*100</f>
        <v>52.5</v>
      </c>
      <c r="J35" s="477"/>
    </row>
    <row r="36" spans="1:10" ht="12.75" customHeight="1" x14ac:dyDescent="0.2">
      <c r="A36" s="304" t="s">
        <v>278</v>
      </c>
      <c r="B36" s="39" t="s">
        <v>320</v>
      </c>
      <c r="C36" s="615" t="s">
        <v>317</v>
      </c>
      <c r="D36" s="615" t="s">
        <v>520</v>
      </c>
      <c r="E36" s="860">
        <v>40</v>
      </c>
      <c r="F36" s="861">
        <v>40</v>
      </c>
      <c r="G36" s="711">
        <v>21</v>
      </c>
      <c r="H36" s="531">
        <f>G36/E36*100</f>
        <v>52.5</v>
      </c>
      <c r="I36" s="840">
        <f>G36/F36*100</f>
        <v>52.5</v>
      </c>
      <c r="J36" s="477"/>
    </row>
    <row r="37" spans="1:10" ht="12.75" customHeight="1" x14ac:dyDescent="0.2">
      <c r="A37" s="304" t="s">
        <v>278</v>
      </c>
      <c r="B37" s="322" t="s">
        <v>321</v>
      </c>
      <c r="C37" s="639" t="s">
        <v>318</v>
      </c>
      <c r="D37" s="639" t="s">
        <v>74</v>
      </c>
      <c r="E37" s="862">
        <v>40</v>
      </c>
      <c r="F37" s="863">
        <v>40</v>
      </c>
      <c r="G37" s="864">
        <v>21</v>
      </c>
      <c r="H37" s="531">
        <f t="shared" ref="H37" si="3">(G37/E37)*100</f>
        <v>52.5</v>
      </c>
      <c r="I37" s="840">
        <f>G37/F37*100</f>
        <v>52.5</v>
      </c>
      <c r="J37" s="477"/>
    </row>
    <row r="38" spans="1:10" ht="12.75" customHeight="1" x14ac:dyDescent="0.2">
      <c r="A38" s="434"/>
      <c r="B38" s="841"/>
      <c r="C38" s="842"/>
      <c r="D38" s="842"/>
      <c r="E38" s="862"/>
      <c r="F38" s="863"/>
      <c r="G38" s="864"/>
      <c r="H38" s="531"/>
      <c r="I38" s="840"/>
      <c r="J38" s="477"/>
    </row>
    <row r="39" spans="1:10" ht="12.75" customHeight="1" x14ac:dyDescent="0.2">
      <c r="A39" s="79" t="s">
        <v>13</v>
      </c>
      <c r="B39" s="1004" t="s">
        <v>217</v>
      </c>
      <c r="C39" s="1004"/>
      <c r="D39" s="1004"/>
      <c r="E39" s="865">
        <f>E41+E42</f>
        <v>0</v>
      </c>
      <c r="F39" s="866">
        <f>F41+F42+F40</f>
        <v>1052.3</v>
      </c>
      <c r="G39" s="865">
        <f>G41+G42+G40</f>
        <v>504</v>
      </c>
      <c r="H39" s="84" t="s">
        <v>305</v>
      </c>
      <c r="I39" s="537">
        <f>G39/F39*100</f>
        <v>47.895086952390002</v>
      </c>
      <c r="J39" s="477"/>
    </row>
    <row r="40" spans="1:10" ht="12.75" customHeight="1" x14ac:dyDescent="0.2">
      <c r="A40" s="332" t="s">
        <v>13</v>
      </c>
      <c r="B40" s="39" t="s">
        <v>506</v>
      </c>
      <c r="C40" s="85" t="s">
        <v>449</v>
      </c>
      <c r="D40" s="20" t="s">
        <v>12</v>
      </c>
      <c r="E40" s="867">
        <v>0</v>
      </c>
      <c r="F40" s="868">
        <v>92.3</v>
      </c>
      <c r="G40" s="867">
        <v>93</v>
      </c>
      <c r="H40" s="171" t="s">
        <v>305</v>
      </c>
      <c r="I40" s="840">
        <f>G40/F40*100</f>
        <v>100.75839653304442</v>
      </c>
      <c r="J40" s="477"/>
    </row>
    <row r="41" spans="1:10" ht="12.75" customHeight="1" x14ac:dyDescent="0.2">
      <c r="A41" s="308" t="s">
        <v>13</v>
      </c>
      <c r="B41" s="39" t="s">
        <v>386</v>
      </c>
      <c r="C41" s="639" t="s">
        <v>387</v>
      </c>
      <c r="D41" s="20" t="s">
        <v>12</v>
      </c>
      <c r="E41" s="867">
        <v>0</v>
      </c>
      <c r="F41" s="868">
        <v>411.4</v>
      </c>
      <c r="G41" s="869">
        <v>411</v>
      </c>
      <c r="H41" s="171" t="s">
        <v>305</v>
      </c>
      <c r="I41" s="840">
        <f>G41/F41*100</f>
        <v>99.902771025765674</v>
      </c>
      <c r="J41" s="477"/>
    </row>
    <row r="42" spans="1:10" ht="12.75" customHeight="1" thickBot="1" x14ac:dyDescent="0.25">
      <c r="A42" s="308" t="s">
        <v>13</v>
      </c>
      <c r="B42" s="843" t="s">
        <v>388</v>
      </c>
      <c r="C42" s="639" t="s">
        <v>507</v>
      </c>
      <c r="D42" s="20" t="s">
        <v>12</v>
      </c>
      <c r="E42" s="870">
        <v>0</v>
      </c>
      <c r="F42" s="871">
        <v>548.6</v>
      </c>
      <c r="G42" s="872">
        <v>0</v>
      </c>
      <c r="H42" s="171" t="s">
        <v>305</v>
      </c>
      <c r="I42" s="840">
        <v>0</v>
      </c>
      <c r="J42" s="477"/>
    </row>
    <row r="43" spans="1:10" s="314" customFormat="1" ht="16.5" thickBot="1" x14ac:dyDescent="0.3">
      <c r="A43" s="493" t="s">
        <v>315</v>
      </c>
      <c r="B43" s="483"/>
      <c r="C43" s="483"/>
      <c r="D43" s="483"/>
      <c r="E43" s="415">
        <f>E34+E39</f>
        <v>120</v>
      </c>
      <c r="F43" s="414">
        <f>F34+F39</f>
        <v>1172.3</v>
      </c>
      <c r="G43" s="415">
        <f xml:space="preserve"> G34+G39</f>
        <v>567</v>
      </c>
      <c r="H43" s="416">
        <f>(G43/E43)*100</f>
        <v>472.49999999999994</v>
      </c>
      <c r="I43" s="844">
        <f>G43/F43*100</f>
        <v>48.366459097500645</v>
      </c>
      <c r="J43" s="486"/>
    </row>
    <row r="44" spans="1:10" s="314" customFormat="1" ht="15.75" thickBot="1" x14ac:dyDescent="0.25">
      <c r="A44" s="486"/>
      <c r="B44" s="486"/>
      <c r="C44" s="486"/>
      <c r="D44" s="486"/>
      <c r="E44" s="486"/>
      <c r="F44" s="795"/>
      <c r="G44" s="486"/>
      <c r="H44" s="545"/>
      <c r="I44" s="545"/>
      <c r="J44" s="486"/>
    </row>
    <row r="45" spans="1:10" s="314" customFormat="1" ht="15.75" customHeight="1" thickBot="1" x14ac:dyDescent="0.3">
      <c r="A45" s="86" t="s">
        <v>377</v>
      </c>
      <c r="B45" s="485"/>
      <c r="C45" s="484"/>
      <c r="D45" s="483"/>
      <c r="E45" s="415">
        <f>E28+E43</f>
        <v>5669</v>
      </c>
      <c r="F45" s="414">
        <f>F28+F43</f>
        <v>6556.1</v>
      </c>
      <c r="G45" s="481">
        <f>G28+G43</f>
        <v>5136</v>
      </c>
      <c r="H45" s="416">
        <f>(G45/E45)*100</f>
        <v>90.597989063326864</v>
      </c>
      <c r="I45" s="420">
        <f>(G45/F45)*100</f>
        <v>78.339256570217046</v>
      </c>
      <c r="J45" s="486"/>
    </row>
    <row r="46" spans="1:10" s="314" customFormat="1" ht="15" x14ac:dyDescent="0.2">
      <c r="A46" s="486"/>
      <c r="B46" s="486"/>
      <c r="C46" s="486"/>
      <c r="D46" s="486"/>
      <c r="E46" s="486"/>
      <c r="F46" s="486"/>
      <c r="G46" s="486"/>
      <c r="H46" s="486"/>
      <c r="I46" s="486"/>
      <c r="J46" s="486"/>
    </row>
    <row r="47" spans="1:10" x14ac:dyDescent="0.2">
      <c r="A47" s="477"/>
      <c r="B47" s="477"/>
      <c r="C47" s="477"/>
      <c r="D47" s="477"/>
      <c r="E47" s="477"/>
      <c r="F47" s="477"/>
      <c r="G47" s="477"/>
      <c r="H47" s="477"/>
      <c r="I47" s="477"/>
      <c r="J47" s="477"/>
    </row>
  </sheetData>
  <mergeCells count="9">
    <mergeCell ref="G4:I4"/>
    <mergeCell ref="B34:C34"/>
    <mergeCell ref="B20:D20"/>
    <mergeCell ref="B39:D39"/>
    <mergeCell ref="A5:I5"/>
    <mergeCell ref="A7:I7"/>
    <mergeCell ref="A8:I8"/>
    <mergeCell ref="A9:I9"/>
    <mergeCell ref="A10:I10"/>
  </mergeCells>
  <pageMargins left="0.23622047244094491" right="0" top="0.74803149606299213" bottom="0.74803149606299213" header="0.31496062992125984" footer="0.31496062992125984"/>
  <pageSetup paperSize="9" scale="77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2:K56"/>
  <sheetViews>
    <sheetView topLeftCell="A10" workbookViewId="0">
      <selection activeCell="K8" sqref="K8"/>
    </sheetView>
  </sheetViews>
  <sheetFormatPr defaultColWidth="9.140625" defaultRowHeight="15" x14ac:dyDescent="0.25"/>
  <cols>
    <col min="1" max="2" width="12.7109375" style="324" customWidth="1"/>
    <col min="3" max="3" width="38.28515625" style="324" customWidth="1"/>
    <col min="4" max="4" width="41.7109375" style="324" customWidth="1"/>
    <col min="5" max="5" width="14.7109375" style="324" customWidth="1"/>
    <col min="6" max="6" width="16.42578125" style="324" customWidth="1"/>
    <col min="7" max="9" width="14.7109375" style="324" customWidth="1"/>
    <col min="10" max="10" width="9.140625" style="325"/>
    <col min="11" max="16384" width="9.140625" style="324"/>
  </cols>
  <sheetData>
    <row r="2" spans="1:11" ht="15.75" x14ac:dyDescent="0.25">
      <c r="A2" s="749" t="s">
        <v>17</v>
      </c>
      <c r="B2" s="823"/>
      <c r="C2" s="823"/>
      <c r="D2" s="824"/>
      <c r="E2"/>
      <c r="F2"/>
      <c r="G2"/>
      <c r="H2"/>
      <c r="I2"/>
      <c r="J2"/>
    </row>
    <row r="3" spans="1:11" ht="15.75" thickBot="1" x14ac:dyDescent="0.3">
      <c r="A3" s="823"/>
      <c r="B3" s="823"/>
      <c r="C3" s="823"/>
      <c r="D3" s="824" t="s">
        <v>18</v>
      </c>
      <c r="E3"/>
      <c r="F3"/>
      <c r="G3"/>
      <c r="H3"/>
      <c r="I3" s="2" t="s">
        <v>605</v>
      </c>
      <c r="J3"/>
    </row>
    <row r="4" spans="1:11" s="315" customFormat="1" ht="12.75" x14ac:dyDescent="0.2">
      <c r="A4" s="11" t="s">
        <v>1</v>
      </c>
      <c r="B4" s="3" t="s">
        <v>2</v>
      </c>
      <c r="C4" s="12" t="s">
        <v>3</v>
      </c>
      <c r="D4" s="504"/>
      <c r="E4" s="3" t="s">
        <v>4</v>
      </c>
      <c r="F4" s="3" t="s">
        <v>372</v>
      </c>
      <c r="G4" s="37" t="s">
        <v>306</v>
      </c>
      <c r="H4" s="51" t="s">
        <v>373</v>
      </c>
      <c r="I4" s="76" t="s">
        <v>373</v>
      </c>
      <c r="J4" s="477"/>
    </row>
    <row r="5" spans="1:11" s="315" customFormat="1" ht="12.75" x14ac:dyDescent="0.2">
      <c r="A5" s="13" t="s">
        <v>5</v>
      </c>
      <c r="B5" s="4" t="s">
        <v>6</v>
      </c>
      <c r="C5" s="1000" t="s">
        <v>7</v>
      </c>
      <c r="D5" s="8" t="s">
        <v>8</v>
      </c>
      <c r="E5" s="4" t="s">
        <v>242</v>
      </c>
      <c r="F5" s="4" t="s">
        <v>374</v>
      </c>
      <c r="G5" s="38" t="s">
        <v>307</v>
      </c>
      <c r="H5" s="52" t="s">
        <v>375</v>
      </c>
      <c r="I5" s="77" t="s">
        <v>376</v>
      </c>
      <c r="J5" s="477"/>
    </row>
    <row r="6" spans="1:11" s="315" customFormat="1" ht="13.5" thickBot="1" x14ac:dyDescent="0.25">
      <c r="A6" s="14" t="s">
        <v>9</v>
      </c>
      <c r="B6" s="5" t="s">
        <v>10</v>
      </c>
      <c r="C6" s="15"/>
      <c r="D6" s="16"/>
      <c r="E6" s="5" t="s">
        <v>293</v>
      </c>
      <c r="F6" s="338">
        <f>[1]Kap.01!F14</f>
        <v>44561</v>
      </c>
      <c r="G6" s="338">
        <f>F6</f>
        <v>44561</v>
      </c>
      <c r="H6" s="53" t="s">
        <v>220</v>
      </c>
      <c r="I6" s="78" t="s">
        <v>220</v>
      </c>
      <c r="J6" s="477"/>
    </row>
    <row r="7" spans="1:11" s="314" customFormat="1" ht="15.75" x14ac:dyDescent="0.25">
      <c r="A7" s="779" t="s">
        <v>11</v>
      </c>
      <c r="B7" s="825"/>
      <c r="C7" s="502"/>
      <c r="D7" s="826"/>
      <c r="E7" s="827"/>
      <c r="F7" s="827"/>
      <c r="G7" s="827"/>
      <c r="H7" s="828"/>
      <c r="I7" s="759"/>
      <c r="J7" s="486"/>
    </row>
    <row r="8" spans="1:11" s="315" customFormat="1" ht="12.75" x14ac:dyDescent="0.2">
      <c r="A8" s="79" t="s">
        <v>19</v>
      </c>
      <c r="B8" s="93" t="s">
        <v>262</v>
      </c>
      <c r="C8" s="94"/>
      <c r="D8" s="95"/>
      <c r="E8" s="855">
        <f>SUM(E9:E15)</f>
        <v>85656</v>
      </c>
      <c r="F8" s="856">
        <f>SUM(F9:F15)</f>
        <v>96840.2</v>
      </c>
      <c r="G8" s="855">
        <f>SUM(G9:G15)</f>
        <v>84386</v>
      </c>
      <c r="H8" s="538">
        <f>(G8/E8)*100</f>
        <v>98.517325114411136</v>
      </c>
      <c r="I8" s="537">
        <f>(G8/F8)*100</f>
        <v>87.139431764907556</v>
      </c>
      <c r="J8" s="477"/>
    </row>
    <row r="9" spans="1:11" s="315" customFormat="1" ht="12.75" x14ac:dyDescent="0.2">
      <c r="A9" s="829"/>
      <c r="B9" s="761"/>
      <c r="C9" s="761" t="s">
        <v>20</v>
      </c>
      <c r="D9" s="761" t="s">
        <v>21</v>
      </c>
      <c r="E9" s="873">
        <v>9000</v>
      </c>
      <c r="F9" s="874">
        <v>9500</v>
      </c>
      <c r="G9" s="873">
        <v>9056</v>
      </c>
      <c r="H9" s="531">
        <f t="shared" ref="H9:H16" si="0">(G9/E9)*100</f>
        <v>100.62222222222221</v>
      </c>
      <c r="I9" s="517">
        <f t="shared" ref="I9:I16" si="1">(G9/F9)*100</f>
        <v>95.326315789473682</v>
      </c>
      <c r="J9" s="477"/>
    </row>
    <row r="10" spans="1:11" s="315" customFormat="1" ht="12.75" x14ac:dyDescent="0.2">
      <c r="A10" s="81"/>
      <c r="B10" s="761"/>
      <c r="C10" s="761" t="s">
        <v>216</v>
      </c>
      <c r="D10" s="761" t="s">
        <v>22</v>
      </c>
      <c r="E10" s="873">
        <v>3000</v>
      </c>
      <c r="F10" s="874">
        <v>1500</v>
      </c>
      <c r="G10" s="873">
        <v>1378</v>
      </c>
      <c r="H10" s="531">
        <f t="shared" si="0"/>
        <v>45.93333333333333</v>
      </c>
      <c r="I10" s="517">
        <f t="shared" si="1"/>
        <v>91.86666666666666</v>
      </c>
      <c r="J10" s="477"/>
    </row>
    <row r="11" spans="1:11" s="315" customFormat="1" ht="12.75" x14ac:dyDescent="0.2">
      <c r="A11" s="81"/>
      <c r="B11" s="761"/>
      <c r="C11" s="761" t="s">
        <v>23</v>
      </c>
      <c r="D11" s="761" t="s">
        <v>24</v>
      </c>
      <c r="E11" s="873">
        <v>800</v>
      </c>
      <c r="F11" s="874">
        <v>550</v>
      </c>
      <c r="G11" s="873">
        <v>262</v>
      </c>
      <c r="H11" s="531">
        <f t="shared" si="0"/>
        <v>32.75</v>
      </c>
      <c r="I11" s="517">
        <f t="shared" si="1"/>
        <v>47.63636363636364</v>
      </c>
      <c r="J11" s="477"/>
    </row>
    <row r="12" spans="1:11" s="315" customFormat="1" ht="12.75" x14ac:dyDescent="0.2">
      <c r="A12" s="829"/>
      <c r="B12" s="40"/>
      <c r="C12" s="761" t="s">
        <v>260</v>
      </c>
      <c r="D12" s="761" t="s">
        <v>25</v>
      </c>
      <c r="E12" s="873">
        <v>50000</v>
      </c>
      <c r="F12" s="874">
        <v>64260.2</v>
      </c>
      <c r="G12" s="873">
        <v>55942</v>
      </c>
      <c r="H12" s="531">
        <f t="shared" si="0"/>
        <v>111.884</v>
      </c>
      <c r="I12" s="517">
        <f t="shared" si="1"/>
        <v>87.055440225831859</v>
      </c>
      <c r="J12" s="477"/>
    </row>
    <row r="13" spans="1:11" s="315" customFormat="1" ht="12.75" x14ac:dyDescent="0.2">
      <c r="A13" s="829"/>
      <c r="B13" s="747"/>
      <c r="C13" s="764" t="s">
        <v>233</v>
      </c>
      <c r="D13" s="764" t="s">
        <v>26</v>
      </c>
      <c r="E13" s="873">
        <v>6300</v>
      </c>
      <c r="F13" s="874">
        <v>9450</v>
      </c>
      <c r="G13" s="873">
        <v>6808</v>
      </c>
      <c r="H13" s="531">
        <f t="shared" si="0"/>
        <v>108.06349206349206</v>
      </c>
      <c r="I13" s="517">
        <f t="shared" si="1"/>
        <v>72.042328042328037</v>
      </c>
      <c r="J13" s="477"/>
      <c r="K13" s="316"/>
    </row>
    <row r="14" spans="1:11" s="315" customFormat="1" ht="12.75" x14ac:dyDescent="0.2">
      <c r="A14" s="830"/>
      <c r="B14" s="747"/>
      <c r="C14" s="764" t="s">
        <v>286</v>
      </c>
      <c r="D14" s="831" t="s">
        <v>287</v>
      </c>
      <c r="E14" s="875">
        <v>13556</v>
      </c>
      <c r="F14" s="876">
        <v>7500</v>
      </c>
      <c r="G14" s="875">
        <v>7222</v>
      </c>
      <c r="H14" s="531">
        <f t="shared" si="0"/>
        <v>53.275302449100025</v>
      </c>
      <c r="I14" s="517">
        <f t="shared" si="1"/>
        <v>96.293333333333337</v>
      </c>
      <c r="J14" s="477"/>
    </row>
    <row r="15" spans="1:11" s="315" customFormat="1" ht="13.5" thickBot="1" x14ac:dyDescent="0.25">
      <c r="A15" s="830"/>
      <c r="B15" s="747"/>
      <c r="C15" s="764" t="s">
        <v>247</v>
      </c>
      <c r="D15" s="831" t="s">
        <v>132</v>
      </c>
      <c r="E15" s="875">
        <v>3000</v>
      </c>
      <c r="F15" s="876">
        <v>4080</v>
      </c>
      <c r="G15" s="875">
        <v>3718</v>
      </c>
      <c r="H15" s="533">
        <f t="shared" si="0"/>
        <v>123.93333333333334</v>
      </c>
      <c r="I15" s="532">
        <f t="shared" si="1"/>
        <v>91.127450980392155</v>
      </c>
      <c r="J15" s="477"/>
    </row>
    <row r="16" spans="1:11" s="314" customFormat="1" ht="16.5" thickBot="1" x14ac:dyDescent="0.3">
      <c r="A16" s="1009" t="s">
        <v>16</v>
      </c>
      <c r="B16" s="1010"/>
      <c r="C16" s="1011"/>
      <c r="D16" s="484"/>
      <c r="E16" s="421">
        <f>E8</f>
        <v>85656</v>
      </c>
      <c r="F16" s="440">
        <f>F8</f>
        <v>96840.2</v>
      </c>
      <c r="G16" s="421">
        <f>G8</f>
        <v>84386</v>
      </c>
      <c r="H16" s="416">
        <f t="shared" si="0"/>
        <v>98.517325114411136</v>
      </c>
      <c r="I16" s="420">
        <f t="shared" si="1"/>
        <v>87.139431764907556</v>
      </c>
      <c r="J16" s="486"/>
    </row>
    <row r="17" spans="1:10" s="315" customFormat="1" ht="12.75" x14ac:dyDescent="0.2">
      <c r="A17" s="596"/>
      <c r="B17" s="596"/>
      <c r="C17" s="596"/>
      <c r="D17" s="596"/>
      <c r="E17" s="91"/>
      <c r="F17" s="91"/>
      <c r="G17" s="96"/>
      <c r="H17" s="96"/>
      <c r="I17" s="92"/>
      <c r="J17" s="477"/>
    </row>
    <row r="18" spans="1:10" s="315" customFormat="1" ht="13.5" thickBot="1" x14ac:dyDescent="0.25">
      <c r="A18" s="596"/>
      <c r="B18" s="596"/>
      <c r="C18" s="596"/>
      <c r="D18" s="596"/>
      <c r="E18" s="91"/>
      <c r="F18" s="91"/>
      <c r="G18" s="96"/>
      <c r="H18" s="96"/>
      <c r="I18" s="92"/>
      <c r="J18" s="477"/>
    </row>
    <row r="19" spans="1:10" s="315" customFormat="1" ht="16.5" customHeight="1" x14ac:dyDescent="0.2">
      <c r="A19" s="6" t="s">
        <v>1</v>
      </c>
      <c r="B19" s="3" t="s">
        <v>2</v>
      </c>
      <c r="C19" s="291" t="s">
        <v>3</v>
      </c>
      <c r="D19" s="504"/>
      <c r="E19" s="51" t="s">
        <v>4</v>
      </c>
      <c r="F19" s="51" t="s">
        <v>372</v>
      </c>
      <c r="G19" s="51" t="s">
        <v>306</v>
      </c>
      <c r="H19" s="51" t="s">
        <v>373</v>
      </c>
      <c r="I19" s="76" t="s">
        <v>373</v>
      </c>
      <c r="J19" s="477"/>
    </row>
    <row r="20" spans="1:10" s="315" customFormat="1" ht="15" customHeight="1" x14ac:dyDescent="0.2">
      <c r="A20" s="7" t="s">
        <v>5</v>
      </c>
      <c r="B20" s="4" t="s">
        <v>6</v>
      </c>
      <c r="C20" s="293" t="s">
        <v>7</v>
      </c>
      <c r="D20" s="8" t="s">
        <v>8</v>
      </c>
      <c r="E20" s="52" t="s">
        <v>242</v>
      </c>
      <c r="F20" s="52" t="s">
        <v>374</v>
      </c>
      <c r="G20" s="52" t="s">
        <v>307</v>
      </c>
      <c r="H20" s="52" t="s">
        <v>375</v>
      </c>
      <c r="I20" s="77" t="s">
        <v>376</v>
      </c>
      <c r="J20" s="477"/>
    </row>
    <row r="21" spans="1:10" s="315" customFormat="1" ht="15.75" customHeight="1" thickBot="1" x14ac:dyDescent="0.25">
      <c r="A21" s="54" t="s">
        <v>9</v>
      </c>
      <c r="B21" s="5" t="s">
        <v>10</v>
      </c>
      <c r="C21" s="317"/>
      <c r="D21" s="16"/>
      <c r="E21" s="503" t="s">
        <v>293</v>
      </c>
      <c r="F21" s="338">
        <f>F6</f>
        <v>44561</v>
      </c>
      <c r="G21" s="338">
        <f>G6</f>
        <v>44561</v>
      </c>
      <c r="H21" s="53" t="s">
        <v>220</v>
      </c>
      <c r="I21" s="78" t="s">
        <v>220</v>
      </c>
      <c r="J21" s="477"/>
    </row>
    <row r="22" spans="1:10" s="314" customFormat="1" ht="15.75" x14ac:dyDescent="0.25">
      <c r="A22" s="46" t="s">
        <v>310</v>
      </c>
      <c r="B22" s="97"/>
      <c r="C22" s="825"/>
      <c r="D22" s="826"/>
      <c r="E22" s="499"/>
      <c r="F22" s="500"/>
      <c r="G22" s="499"/>
      <c r="H22" s="498"/>
      <c r="I22" s="497"/>
      <c r="J22" s="486"/>
    </row>
    <row r="23" spans="1:10" s="315" customFormat="1" ht="12.75" x14ac:dyDescent="0.2">
      <c r="A23" s="31" t="s">
        <v>19</v>
      </c>
      <c r="B23" s="852" t="s">
        <v>262</v>
      </c>
      <c r="C23" s="94"/>
      <c r="D23" s="832"/>
      <c r="E23" s="858">
        <f>SUM(E24:E35)</f>
        <v>4021</v>
      </c>
      <c r="F23" s="859">
        <f>SUM(F24:F36)</f>
        <v>25422.799999999999</v>
      </c>
      <c r="G23" s="858">
        <f>SUM(G24:G36)</f>
        <v>809</v>
      </c>
      <c r="H23" s="538">
        <f>(G23/E23)*100</f>
        <v>20.11937329022631</v>
      </c>
      <c r="I23" s="537">
        <f>(G23/F23)*100</f>
        <v>3.1821829224160991</v>
      </c>
      <c r="J23" s="477"/>
    </row>
    <row r="24" spans="1:10" s="315" customFormat="1" ht="25.5" x14ac:dyDescent="0.2">
      <c r="A24" s="304" t="s">
        <v>19</v>
      </c>
      <c r="B24" s="39" t="s">
        <v>358</v>
      </c>
      <c r="C24" s="321" t="s">
        <v>359</v>
      </c>
      <c r="D24" s="321" t="s">
        <v>25</v>
      </c>
      <c r="E24" s="860">
        <v>1339</v>
      </c>
      <c r="F24" s="861">
        <v>1339</v>
      </c>
      <c r="G24" s="711">
        <v>0</v>
      </c>
      <c r="H24" s="531">
        <f t="shared" ref="H24:H39" si="2">(G24/E24)*100</f>
        <v>0</v>
      </c>
      <c r="I24" s="517">
        <f t="shared" ref="I24:I39" si="3">(G24/F24)*100</f>
        <v>0</v>
      </c>
      <c r="J24" s="477"/>
    </row>
    <row r="25" spans="1:10" s="315" customFormat="1" ht="13.5" customHeight="1" x14ac:dyDescent="0.2">
      <c r="A25" s="304" t="s">
        <v>19</v>
      </c>
      <c r="B25" s="39" t="s">
        <v>360</v>
      </c>
      <c r="C25" s="321" t="s">
        <v>361</v>
      </c>
      <c r="D25" s="321" t="s">
        <v>25</v>
      </c>
      <c r="E25" s="860">
        <v>480</v>
      </c>
      <c r="F25" s="861">
        <v>480</v>
      </c>
      <c r="G25" s="711">
        <v>0</v>
      </c>
      <c r="H25" s="531">
        <f t="shared" si="2"/>
        <v>0</v>
      </c>
      <c r="I25" s="517">
        <f t="shared" si="3"/>
        <v>0</v>
      </c>
      <c r="J25" s="477"/>
    </row>
    <row r="26" spans="1:10" s="315" customFormat="1" ht="25.5" x14ac:dyDescent="0.2">
      <c r="A26" s="304" t="s">
        <v>19</v>
      </c>
      <c r="B26" s="39" t="s">
        <v>362</v>
      </c>
      <c r="C26" s="321" t="s">
        <v>363</v>
      </c>
      <c r="D26" s="321" t="s">
        <v>25</v>
      </c>
      <c r="E26" s="860">
        <v>187</v>
      </c>
      <c r="F26" s="861">
        <v>187</v>
      </c>
      <c r="G26" s="711">
        <v>0</v>
      </c>
      <c r="H26" s="531">
        <f t="shared" si="2"/>
        <v>0</v>
      </c>
      <c r="I26" s="517">
        <f t="shared" si="3"/>
        <v>0</v>
      </c>
      <c r="J26" s="477"/>
    </row>
    <row r="27" spans="1:10" s="315" customFormat="1" ht="25.5" x14ac:dyDescent="0.2">
      <c r="A27" s="304" t="s">
        <v>19</v>
      </c>
      <c r="B27" s="39" t="s">
        <v>364</v>
      </c>
      <c r="C27" s="321" t="s">
        <v>365</v>
      </c>
      <c r="D27" s="321" t="s">
        <v>25</v>
      </c>
      <c r="E27" s="860">
        <v>180</v>
      </c>
      <c r="F27" s="861">
        <v>180</v>
      </c>
      <c r="G27" s="711">
        <v>0</v>
      </c>
      <c r="H27" s="531">
        <f t="shared" si="2"/>
        <v>0</v>
      </c>
      <c r="I27" s="517">
        <f t="shared" si="3"/>
        <v>0</v>
      </c>
      <c r="J27" s="477"/>
    </row>
    <row r="28" spans="1:10" s="315" customFormat="1" ht="18.75" customHeight="1" x14ac:dyDescent="0.2">
      <c r="A28" s="304" t="s">
        <v>19</v>
      </c>
      <c r="B28" s="39" t="s">
        <v>366</v>
      </c>
      <c r="C28" s="321" t="s">
        <v>367</v>
      </c>
      <c r="D28" s="321" t="s">
        <v>25</v>
      </c>
      <c r="E28" s="860">
        <v>237</v>
      </c>
      <c r="F28" s="861">
        <v>473.7</v>
      </c>
      <c r="G28" s="711">
        <v>5</v>
      </c>
      <c r="H28" s="531">
        <f t="shared" si="2"/>
        <v>2.109704641350211</v>
      </c>
      <c r="I28" s="517">
        <f t="shared" si="3"/>
        <v>1.0555203715431707</v>
      </c>
      <c r="J28" s="477"/>
    </row>
    <row r="29" spans="1:10" s="315" customFormat="1" ht="18.75" customHeight="1" x14ac:dyDescent="0.2">
      <c r="A29" s="304" t="s">
        <v>19</v>
      </c>
      <c r="B29" s="39" t="s">
        <v>618</v>
      </c>
      <c r="C29" s="321" t="s">
        <v>454</v>
      </c>
      <c r="D29" s="321" t="s">
        <v>25</v>
      </c>
      <c r="E29" s="860">
        <v>0</v>
      </c>
      <c r="F29" s="861">
        <v>500</v>
      </c>
      <c r="G29" s="711">
        <v>477</v>
      </c>
      <c r="H29" s="171" t="s">
        <v>305</v>
      </c>
      <c r="I29" s="517">
        <f t="shared" si="3"/>
        <v>95.399999999999991</v>
      </c>
      <c r="J29" s="477"/>
    </row>
    <row r="30" spans="1:10" s="315" customFormat="1" ht="18.75" customHeight="1" x14ac:dyDescent="0.2">
      <c r="A30" s="304" t="s">
        <v>19</v>
      </c>
      <c r="B30" s="39" t="s">
        <v>368</v>
      </c>
      <c r="C30" s="321" t="s">
        <v>369</v>
      </c>
      <c r="D30" s="321" t="s">
        <v>25</v>
      </c>
      <c r="E30" s="860">
        <v>500</v>
      </c>
      <c r="F30" s="861">
        <v>2377.1999999999998</v>
      </c>
      <c r="G30" s="711">
        <v>109</v>
      </c>
      <c r="H30" s="531">
        <f t="shared" si="2"/>
        <v>21.8</v>
      </c>
      <c r="I30" s="517">
        <f t="shared" si="3"/>
        <v>4.5852263166750804</v>
      </c>
      <c r="J30" s="477"/>
    </row>
    <row r="31" spans="1:10" s="315" customFormat="1" ht="31.5" customHeight="1" x14ac:dyDescent="0.2">
      <c r="A31" s="304" t="s">
        <v>19</v>
      </c>
      <c r="B31" s="39" t="s">
        <v>492</v>
      </c>
      <c r="C31" s="321" t="s">
        <v>616</v>
      </c>
      <c r="D31" s="321" t="s">
        <v>25</v>
      </c>
      <c r="E31" s="860">
        <v>0</v>
      </c>
      <c r="F31" s="861">
        <v>350</v>
      </c>
      <c r="G31" s="711">
        <v>0</v>
      </c>
      <c r="H31" s="171" t="s">
        <v>305</v>
      </c>
      <c r="I31" s="517">
        <f t="shared" si="3"/>
        <v>0</v>
      </c>
      <c r="J31" s="477"/>
    </row>
    <row r="32" spans="1:10" s="315" customFormat="1" ht="18.75" customHeight="1" x14ac:dyDescent="0.2">
      <c r="A32" s="304" t="s">
        <v>19</v>
      </c>
      <c r="B32" s="39" t="s">
        <v>384</v>
      </c>
      <c r="C32" s="321" t="s">
        <v>385</v>
      </c>
      <c r="D32" s="321" t="s">
        <v>25</v>
      </c>
      <c r="E32" s="860">
        <v>0</v>
      </c>
      <c r="F32" s="861">
        <v>3000</v>
      </c>
      <c r="G32" s="711">
        <v>218</v>
      </c>
      <c r="H32" s="171" t="s">
        <v>305</v>
      </c>
      <c r="I32" s="517">
        <f t="shared" si="3"/>
        <v>7.2666666666666675</v>
      </c>
      <c r="J32" s="477"/>
    </row>
    <row r="33" spans="1:10" s="315" customFormat="1" ht="30" customHeight="1" x14ac:dyDescent="0.2">
      <c r="A33" s="326" t="s">
        <v>19</v>
      </c>
      <c r="B33" s="322" t="s">
        <v>370</v>
      </c>
      <c r="C33" s="327" t="s">
        <v>371</v>
      </c>
      <c r="D33" s="321" t="s">
        <v>25</v>
      </c>
      <c r="E33" s="862">
        <v>1098</v>
      </c>
      <c r="F33" s="863">
        <v>5460.2</v>
      </c>
      <c r="G33" s="864">
        <v>0</v>
      </c>
      <c r="H33" s="533">
        <f t="shared" ref="H33" si="4">(G33/E33)*100</f>
        <v>0</v>
      </c>
      <c r="I33" s="532">
        <f t="shared" si="3"/>
        <v>0</v>
      </c>
      <c r="J33" s="477"/>
    </row>
    <row r="34" spans="1:10" s="315" customFormat="1" ht="12.75" customHeight="1" x14ac:dyDescent="0.2">
      <c r="A34" s="326" t="s">
        <v>19</v>
      </c>
      <c r="B34" s="322" t="s">
        <v>521</v>
      </c>
      <c r="C34" s="327" t="s">
        <v>466</v>
      </c>
      <c r="D34" s="321" t="s">
        <v>25</v>
      </c>
      <c r="E34" s="862">
        <v>0</v>
      </c>
      <c r="F34" s="863">
        <v>2000</v>
      </c>
      <c r="G34" s="864">
        <v>0</v>
      </c>
      <c r="H34" s="164" t="s">
        <v>305</v>
      </c>
      <c r="I34" s="532">
        <f t="shared" si="3"/>
        <v>0</v>
      </c>
      <c r="J34" s="477"/>
    </row>
    <row r="35" spans="1:10" s="315" customFormat="1" ht="12.75" x14ac:dyDescent="0.2">
      <c r="A35" s="304" t="s">
        <v>19</v>
      </c>
      <c r="B35" s="39" t="s">
        <v>522</v>
      </c>
      <c r="C35" s="321" t="s">
        <v>465</v>
      </c>
      <c r="D35" s="321" t="s">
        <v>25</v>
      </c>
      <c r="E35" s="860">
        <v>0</v>
      </c>
      <c r="F35" s="861">
        <v>2000</v>
      </c>
      <c r="G35" s="711">
        <v>0</v>
      </c>
      <c r="H35" s="171" t="s">
        <v>305</v>
      </c>
      <c r="I35" s="517">
        <f t="shared" si="3"/>
        <v>0</v>
      </c>
      <c r="J35" s="477"/>
    </row>
    <row r="36" spans="1:10" s="229" customFormat="1" ht="26.25" customHeight="1" thickBot="1" x14ac:dyDescent="0.25">
      <c r="A36" s="972" t="s">
        <v>19</v>
      </c>
      <c r="B36" s="971" t="s">
        <v>645</v>
      </c>
      <c r="C36" s="321" t="s">
        <v>646</v>
      </c>
      <c r="D36" s="321" t="s">
        <v>25</v>
      </c>
      <c r="E36" s="877">
        <v>0</v>
      </c>
      <c r="F36" s="871">
        <v>7075.7</v>
      </c>
      <c r="G36" s="872">
        <v>0</v>
      </c>
      <c r="H36" s="171" t="s">
        <v>305</v>
      </c>
      <c r="I36" s="517">
        <f t="shared" si="3"/>
        <v>0</v>
      </c>
      <c r="J36" s="477"/>
    </row>
    <row r="37" spans="1:10" s="229" customFormat="1" ht="16.5" thickBot="1" x14ac:dyDescent="0.3">
      <c r="A37" s="648" t="s">
        <v>315</v>
      </c>
      <c r="B37" s="649"/>
      <c r="C37" s="650"/>
      <c r="D37" s="649"/>
      <c r="E37" s="415">
        <f>SUM(E24:E36)</f>
        <v>4021</v>
      </c>
      <c r="F37" s="414">
        <f>SUM(F24:F36)</f>
        <v>25422.799999999999</v>
      </c>
      <c r="G37" s="415">
        <f>SUM(G24:G36)</f>
        <v>809</v>
      </c>
      <c r="H37" s="416">
        <f t="shared" si="2"/>
        <v>20.11937329022631</v>
      </c>
      <c r="I37" s="420">
        <f t="shared" si="3"/>
        <v>3.1821829224160991</v>
      </c>
      <c r="J37" s="652"/>
    </row>
    <row r="38" spans="1:10" s="314" customFormat="1" ht="16.5" thickBot="1" x14ac:dyDescent="0.3">
      <c r="A38" s="486"/>
      <c r="B38" s="486"/>
      <c r="C38" s="486"/>
      <c r="D38" s="486"/>
      <c r="E38" s="486"/>
      <c r="F38" s="795"/>
      <c r="G38" s="486"/>
      <c r="H38" s="702"/>
      <c r="I38" s="703"/>
      <c r="J38" s="486"/>
    </row>
    <row r="39" spans="1:10" s="315" customFormat="1" ht="16.5" thickBot="1" x14ac:dyDescent="0.3">
      <c r="A39" s="1009" t="s">
        <v>378</v>
      </c>
      <c r="B39" s="1010"/>
      <c r="C39" s="1011"/>
      <c r="D39" s="483"/>
      <c r="E39" s="481">
        <f>E16+E37</f>
        <v>89677</v>
      </c>
      <c r="F39" s="414">
        <f t="shared" ref="F39:G39" si="5">F16+F37</f>
        <v>122263</v>
      </c>
      <c r="G39" s="481">
        <f t="shared" si="5"/>
        <v>85195</v>
      </c>
      <c r="H39" s="416">
        <f t="shared" si="2"/>
        <v>95.002062959287215</v>
      </c>
      <c r="I39" s="420">
        <f t="shared" si="3"/>
        <v>69.681751633773089</v>
      </c>
      <c r="J39" s="486"/>
    </row>
    <row r="40" spans="1:10" s="315" customFormat="1" ht="12.75" x14ac:dyDescent="0.2">
      <c r="A40" s="477"/>
      <c r="B40" s="477"/>
      <c r="C40" s="477"/>
      <c r="D40" s="477"/>
      <c r="E40" s="477"/>
      <c r="F40" s="477"/>
      <c r="G40" s="477"/>
      <c r="H40" s="477"/>
      <c r="I40" s="477"/>
      <c r="J40" s="477"/>
    </row>
    <row r="41" spans="1:10" x14ac:dyDescent="0.25">
      <c r="A41" s="477"/>
      <c r="B41" s="477"/>
      <c r="C41" s="477"/>
      <c r="D41" s="477"/>
      <c r="E41" s="477"/>
      <c r="F41" s="477"/>
      <c r="G41" s="477"/>
      <c r="H41" s="477"/>
      <c r="I41" s="477"/>
      <c r="J41" s="477"/>
    </row>
    <row r="52" ht="30.75" customHeight="1" x14ac:dyDescent="0.25"/>
    <row r="56" ht="27" customHeight="1" x14ac:dyDescent="0.25"/>
  </sheetData>
  <mergeCells count="2">
    <mergeCell ref="A16:C16"/>
    <mergeCell ref="A39:C39"/>
  </mergeCells>
  <printOptions horizontalCentered="1"/>
  <pageMargins left="0.23622047244094491" right="0" top="0.74803149606299213" bottom="0.74803149606299213" header="0.31496062992125984" footer="0.31496062992125984"/>
  <pageSetup paperSize="9" scale="77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M29"/>
  <sheetViews>
    <sheetView zoomScaleNormal="100" workbookViewId="0">
      <selection activeCell="G24" sqref="G24"/>
    </sheetView>
  </sheetViews>
  <sheetFormatPr defaultColWidth="9.140625" defaultRowHeight="15" x14ac:dyDescent="0.25"/>
  <cols>
    <col min="1" max="1" width="12.7109375" style="325" customWidth="1"/>
    <col min="2" max="2" width="17.28515625" style="325" customWidth="1"/>
    <col min="3" max="3" width="36.5703125" style="325" customWidth="1"/>
    <col min="4" max="4" width="39.7109375" style="325" customWidth="1"/>
    <col min="5" max="5" width="14.7109375" style="325" customWidth="1"/>
    <col min="6" max="6" width="17.28515625" style="325" customWidth="1"/>
    <col min="7" max="9" width="14.7109375" style="325" customWidth="1"/>
    <col min="10" max="13" width="9.140625" style="325"/>
    <col min="14" max="16384" width="9.140625" style="324"/>
  </cols>
  <sheetData>
    <row r="1" spans="1:13" ht="18" x14ac:dyDescent="0.25">
      <c r="C1" s="335"/>
    </row>
    <row r="2" spans="1:13" s="314" customFormat="1" ht="15.75" x14ac:dyDescent="0.25">
      <c r="A2" s="749" t="s">
        <v>27</v>
      </c>
      <c r="B2" s="486"/>
      <c r="C2" s="486"/>
      <c r="D2" s="486"/>
      <c r="E2" s="486"/>
      <c r="F2" s="486"/>
      <c r="G2" s="486"/>
      <c r="H2" s="486"/>
      <c r="I2" s="486"/>
      <c r="J2" s="486"/>
      <c r="K2" s="229"/>
      <c r="L2" s="229"/>
      <c r="M2" s="229"/>
    </row>
    <row r="3" spans="1:13" s="315" customFormat="1" ht="13.5" thickBot="1" x14ac:dyDescent="0.25">
      <c r="A3" s="477"/>
      <c r="B3" s="547"/>
      <c r="C3" s="477"/>
      <c r="D3" s="477"/>
      <c r="E3" s="477"/>
      <c r="F3" s="477"/>
      <c r="G3" s="477"/>
      <c r="H3" s="477"/>
      <c r="I3" s="739" t="s">
        <v>604</v>
      </c>
      <c r="J3" s="477"/>
      <c r="K3" s="230"/>
      <c r="L3" s="230"/>
      <c r="M3" s="230"/>
    </row>
    <row r="4" spans="1:13" s="315" customFormat="1" ht="12.75" x14ac:dyDescent="0.2">
      <c r="A4" s="549" t="s">
        <v>1</v>
      </c>
      <c r="B4" s="51" t="s">
        <v>2</v>
      </c>
      <c r="C4" s="550" t="s">
        <v>3</v>
      </c>
      <c r="D4" s="51"/>
      <c r="E4" s="51" t="s">
        <v>4</v>
      </c>
      <c r="F4" s="51" t="s">
        <v>372</v>
      </c>
      <c r="G4" s="69" t="s">
        <v>306</v>
      </c>
      <c r="H4" s="51" t="s">
        <v>373</v>
      </c>
      <c r="I4" s="76" t="s">
        <v>373</v>
      </c>
      <c r="J4" s="477"/>
      <c r="K4" s="230"/>
      <c r="L4" s="230"/>
      <c r="M4" s="230"/>
    </row>
    <row r="5" spans="1:13" s="315" customFormat="1" ht="12.75" x14ac:dyDescent="0.2">
      <c r="A5" s="554" t="s">
        <v>5</v>
      </c>
      <c r="B5" s="52" t="s">
        <v>6</v>
      </c>
      <c r="C5" s="555" t="s">
        <v>7</v>
      </c>
      <c r="D5" s="777" t="s">
        <v>8</v>
      </c>
      <c r="E5" s="52" t="s">
        <v>242</v>
      </c>
      <c r="F5" s="52" t="s">
        <v>374</v>
      </c>
      <c r="G5" s="70" t="s">
        <v>307</v>
      </c>
      <c r="H5" s="52" t="s">
        <v>375</v>
      </c>
      <c r="I5" s="77" t="s">
        <v>376</v>
      </c>
      <c r="J5" s="477"/>
      <c r="K5" s="230"/>
      <c r="L5" s="230"/>
      <c r="M5" s="230"/>
    </row>
    <row r="6" spans="1:13" s="315" customFormat="1" ht="13.5" thickBot="1" x14ac:dyDescent="0.25">
      <c r="A6" s="559" t="s">
        <v>9</v>
      </c>
      <c r="B6" s="503" t="s">
        <v>10</v>
      </c>
      <c r="C6" s="560"/>
      <c r="D6" s="778"/>
      <c r="E6" s="503" t="s">
        <v>293</v>
      </c>
      <c r="F6" s="338">
        <f>[1]Kap.01!F14</f>
        <v>44561</v>
      </c>
      <c r="G6" s="338">
        <f>F6</f>
        <v>44561</v>
      </c>
      <c r="H6" s="53" t="s">
        <v>220</v>
      </c>
      <c r="I6" s="78" t="s">
        <v>220</v>
      </c>
      <c r="J6" s="477"/>
      <c r="K6" s="230"/>
      <c r="L6" s="230"/>
      <c r="M6" s="230"/>
    </row>
    <row r="7" spans="1:13" s="314" customFormat="1" ht="15.75" x14ac:dyDescent="0.25">
      <c r="A7" s="796" t="s">
        <v>11</v>
      </c>
      <c r="B7" s="499"/>
      <c r="C7" s="797"/>
      <c r="D7" s="798"/>
      <c r="E7" s="799"/>
      <c r="F7" s="799"/>
      <c r="G7" s="799"/>
      <c r="H7" s="800"/>
      <c r="I7" s="801"/>
      <c r="J7" s="486"/>
      <c r="K7" s="229"/>
      <c r="L7" s="229"/>
      <c r="M7" s="229"/>
    </row>
    <row r="8" spans="1:13" s="315" customFormat="1" ht="12.75" x14ac:dyDescent="0.2">
      <c r="A8" s="588" t="s">
        <v>28</v>
      </c>
      <c r="B8" s="750" t="s">
        <v>29</v>
      </c>
      <c r="C8" s="751"/>
      <c r="D8" s="802"/>
      <c r="E8" s="721">
        <f>SUM(E9:E11)</f>
        <v>2995</v>
      </c>
      <c r="F8" s="720">
        <f>SUM(F9:F11)</f>
        <v>1835</v>
      </c>
      <c r="G8" s="721">
        <f>SUM(G9:G11)</f>
        <v>365</v>
      </c>
      <c r="H8" s="574">
        <f>(G8/E8)*100</f>
        <v>12.186978297161936</v>
      </c>
      <c r="I8" s="575">
        <f>(G8/F8)*100</f>
        <v>19.891008174386922</v>
      </c>
      <c r="J8" s="477"/>
      <c r="K8" s="230"/>
      <c r="L8" s="230"/>
      <c r="M8" s="230"/>
    </row>
    <row r="9" spans="1:13" s="315" customFormat="1" ht="12.75" x14ac:dyDescent="0.2">
      <c r="A9" s="617"/>
      <c r="B9" s="612"/>
      <c r="C9" s="803" t="s">
        <v>23</v>
      </c>
      <c r="D9" s="804" t="s">
        <v>30</v>
      </c>
      <c r="E9" s="583">
        <v>380</v>
      </c>
      <c r="F9" s="582">
        <v>104</v>
      </c>
      <c r="G9" s="583">
        <v>93</v>
      </c>
      <c r="H9" s="579">
        <f t="shared" ref="H9:H12" si="0">(G9/E9)*100</f>
        <v>24.473684210526319</v>
      </c>
      <c r="I9" s="526">
        <f t="shared" ref="I9:I12" si="1">(G9/F9)*100</f>
        <v>89.423076923076934</v>
      </c>
      <c r="J9" s="477"/>
      <c r="K9" s="244"/>
      <c r="L9" s="230"/>
      <c r="M9" s="230"/>
    </row>
    <row r="10" spans="1:13" s="315" customFormat="1" ht="15" customHeight="1" x14ac:dyDescent="0.2">
      <c r="A10" s="805"/>
      <c r="B10" s="612"/>
      <c r="C10" s="806" t="s">
        <v>255</v>
      </c>
      <c r="D10" s="577" t="s">
        <v>30</v>
      </c>
      <c r="E10" s="878">
        <v>2441</v>
      </c>
      <c r="F10" s="879">
        <v>1557</v>
      </c>
      <c r="G10" s="878">
        <v>176</v>
      </c>
      <c r="H10" s="579">
        <f t="shared" si="0"/>
        <v>7.2101597705858254</v>
      </c>
      <c r="I10" s="526">
        <f t="shared" si="1"/>
        <v>11.30378933847142</v>
      </c>
      <c r="J10" s="477"/>
      <c r="K10" s="230"/>
      <c r="L10" s="230"/>
      <c r="M10" s="230"/>
    </row>
    <row r="11" spans="1:13" s="315" customFormat="1" ht="15" customHeight="1" thickBot="1" x14ac:dyDescent="0.25">
      <c r="A11" s="805"/>
      <c r="B11" s="638"/>
      <c r="C11" s="807" t="s">
        <v>266</v>
      </c>
      <c r="D11" s="808" t="s">
        <v>30</v>
      </c>
      <c r="E11" s="878">
        <v>174</v>
      </c>
      <c r="F11" s="879">
        <v>174</v>
      </c>
      <c r="G11" s="878">
        <v>96</v>
      </c>
      <c r="H11" s="809">
        <f t="shared" si="0"/>
        <v>55.172413793103445</v>
      </c>
      <c r="I11" s="644">
        <f t="shared" si="1"/>
        <v>55.172413793103445</v>
      </c>
      <c r="J11" s="477"/>
      <c r="K11" s="230"/>
      <c r="L11" s="230"/>
      <c r="M11" s="230"/>
    </row>
    <row r="12" spans="1:13" s="314" customFormat="1" ht="15" customHeight="1" thickBot="1" x14ac:dyDescent="0.3">
      <c r="A12" s="1012" t="s">
        <v>16</v>
      </c>
      <c r="B12" s="1013"/>
      <c r="C12" s="1014"/>
      <c r="D12" s="810"/>
      <c r="E12" s="421">
        <f>E8</f>
        <v>2995</v>
      </c>
      <c r="F12" s="440">
        <f>F8</f>
        <v>1835</v>
      </c>
      <c r="G12" s="421">
        <f>G8</f>
        <v>365</v>
      </c>
      <c r="H12" s="594">
        <f t="shared" si="0"/>
        <v>12.186978297161936</v>
      </c>
      <c r="I12" s="595">
        <f t="shared" si="1"/>
        <v>19.891008174386922</v>
      </c>
      <c r="J12" s="486"/>
      <c r="K12" s="229"/>
      <c r="L12" s="229"/>
      <c r="M12" s="229"/>
    </row>
    <row r="13" spans="1:13" s="315" customFormat="1" ht="12.75" x14ac:dyDescent="0.2">
      <c r="A13" s="477"/>
      <c r="B13" s="477"/>
      <c r="C13" s="477"/>
      <c r="D13" s="477"/>
      <c r="E13" s="477"/>
      <c r="F13" s="477"/>
      <c r="G13" s="477"/>
      <c r="H13" s="477"/>
      <c r="I13" s="477"/>
      <c r="J13" s="477"/>
      <c r="K13" s="230"/>
      <c r="L13" s="230"/>
      <c r="M13" s="230"/>
    </row>
    <row r="14" spans="1:13" s="315" customFormat="1" ht="13.5" thickBot="1" x14ac:dyDescent="0.25">
      <c r="A14" s="477"/>
      <c r="B14" s="477"/>
      <c r="C14" s="477"/>
      <c r="D14" s="477"/>
      <c r="E14" s="477"/>
      <c r="F14" s="477"/>
      <c r="G14" s="477"/>
      <c r="H14" s="477"/>
      <c r="I14" s="477"/>
      <c r="J14" s="477"/>
      <c r="K14" s="230"/>
      <c r="L14" s="230"/>
      <c r="M14" s="230"/>
    </row>
    <row r="15" spans="1:13" s="315" customFormat="1" ht="12.75" x14ac:dyDescent="0.2">
      <c r="A15" s="600" t="s">
        <v>1</v>
      </c>
      <c r="B15" s="51" t="s">
        <v>2</v>
      </c>
      <c r="C15" s="601" t="s">
        <v>3</v>
      </c>
      <c r="D15" s="811"/>
      <c r="E15" s="51" t="s">
        <v>4</v>
      </c>
      <c r="F15" s="51" t="s">
        <v>372</v>
      </c>
      <c r="G15" s="51" t="s">
        <v>306</v>
      </c>
      <c r="H15" s="51" t="s">
        <v>373</v>
      </c>
      <c r="I15" s="76" t="s">
        <v>373</v>
      </c>
      <c r="J15" s="477"/>
      <c r="K15" s="230"/>
      <c r="L15" s="230"/>
      <c r="M15" s="230"/>
    </row>
    <row r="16" spans="1:13" s="315" customFormat="1" ht="12.75" x14ac:dyDescent="0.2">
      <c r="A16" s="602" t="s">
        <v>5</v>
      </c>
      <c r="B16" s="52" t="s">
        <v>6</v>
      </c>
      <c r="C16" s="603" t="s">
        <v>7</v>
      </c>
      <c r="D16" s="777" t="s">
        <v>8</v>
      </c>
      <c r="E16" s="52" t="s">
        <v>242</v>
      </c>
      <c r="F16" s="52" t="s">
        <v>374</v>
      </c>
      <c r="G16" s="52" t="s">
        <v>307</v>
      </c>
      <c r="H16" s="52" t="s">
        <v>375</v>
      </c>
      <c r="I16" s="77" t="s">
        <v>376</v>
      </c>
      <c r="J16" s="477"/>
      <c r="K16" s="230"/>
      <c r="L16" s="230"/>
      <c r="M16" s="230"/>
    </row>
    <row r="17" spans="1:13" s="315" customFormat="1" ht="13.5" thickBot="1" x14ac:dyDescent="0.25">
      <c r="A17" s="602" t="s">
        <v>9</v>
      </c>
      <c r="B17" s="52" t="s">
        <v>10</v>
      </c>
      <c r="C17" s="603"/>
      <c r="D17" s="777"/>
      <c r="E17" s="52" t="s">
        <v>293</v>
      </c>
      <c r="F17" s="338">
        <f>F6</f>
        <v>44561</v>
      </c>
      <c r="G17" s="338">
        <f>G6</f>
        <v>44561</v>
      </c>
      <c r="H17" s="53" t="s">
        <v>220</v>
      </c>
      <c r="I17" s="78" t="s">
        <v>220</v>
      </c>
      <c r="J17" s="477"/>
      <c r="K17" s="230"/>
      <c r="L17" s="230"/>
      <c r="M17" s="230"/>
    </row>
    <row r="18" spans="1:13" s="314" customFormat="1" ht="15.75" x14ac:dyDescent="0.25">
      <c r="A18" s="604" t="s">
        <v>310</v>
      </c>
      <c r="B18" s="564"/>
      <c r="C18" s="605"/>
      <c r="D18" s="812"/>
      <c r="E18" s="564"/>
      <c r="F18" s="770"/>
      <c r="G18" s="564"/>
      <c r="H18" s="771"/>
      <c r="I18" s="772"/>
      <c r="J18" s="486"/>
      <c r="K18" s="229"/>
      <c r="L18" s="229"/>
      <c r="M18" s="229"/>
    </row>
    <row r="19" spans="1:13" s="315" customFormat="1" ht="12.75" x14ac:dyDescent="0.2">
      <c r="A19" s="588" t="s">
        <v>28</v>
      </c>
      <c r="B19" s="609" t="s">
        <v>29</v>
      </c>
      <c r="C19" s="609"/>
      <c r="D19" s="813"/>
      <c r="E19" s="858">
        <f>SUM(E20:E24)</f>
        <v>15319</v>
      </c>
      <c r="F19" s="859">
        <f t="shared" ref="F19:G19" si="2">SUM(F20:F24)</f>
        <v>69899</v>
      </c>
      <c r="G19" s="858">
        <f t="shared" si="2"/>
        <v>7448</v>
      </c>
      <c r="H19" s="574">
        <f>(G19/E19)*100</f>
        <v>48.619361577126448</v>
      </c>
      <c r="I19" s="575">
        <f>(G19/F19)*100</f>
        <v>10.655374182749396</v>
      </c>
      <c r="J19" s="477"/>
      <c r="K19" s="230"/>
      <c r="L19" s="230"/>
      <c r="M19" s="230"/>
    </row>
    <row r="20" spans="1:13" s="315" customFormat="1" ht="42.75" customHeight="1" x14ac:dyDescent="0.2">
      <c r="A20" s="434" t="s">
        <v>28</v>
      </c>
      <c r="B20" s="435" t="s">
        <v>516</v>
      </c>
      <c r="C20" s="814" t="s">
        <v>311</v>
      </c>
      <c r="D20" s="815" t="s">
        <v>30</v>
      </c>
      <c r="E20" s="860">
        <v>1069</v>
      </c>
      <c r="F20" s="861">
        <v>915</v>
      </c>
      <c r="G20" s="880">
        <v>661</v>
      </c>
      <c r="H20" s="579">
        <f t="shared" ref="H20:H24" si="3">(G20/E20)*100</f>
        <v>61.833489242282504</v>
      </c>
      <c r="I20" s="526">
        <f t="shared" ref="I20:I24" si="4">(G20/F20)*100</f>
        <v>72.240437158469945</v>
      </c>
      <c r="J20" s="477"/>
      <c r="K20" s="230"/>
      <c r="L20" s="230"/>
      <c r="M20" s="230"/>
    </row>
    <row r="21" spans="1:13" s="315" customFormat="1" ht="26.25" customHeight="1" x14ac:dyDescent="0.2">
      <c r="A21" s="304" t="s">
        <v>28</v>
      </c>
      <c r="B21" s="39" t="s">
        <v>517</v>
      </c>
      <c r="C21" s="816" t="s">
        <v>312</v>
      </c>
      <c r="D21" s="817" t="s">
        <v>30</v>
      </c>
      <c r="E21" s="860">
        <v>350</v>
      </c>
      <c r="F21" s="861">
        <v>350</v>
      </c>
      <c r="G21" s="880">
        <v>185</v>
      </c>
      <c r="H21" s="579">
        <f t="shared" si="3"/>
        <v>52.857142857142861</v>
      </c>
      <c r="I21" s="526">
        <f t="shared" si="4"/>
        <v>52.857142857142861</v>
      </c>
      <c r="J21" s="477"/>
      <c r="K21" s="230"/>
      <c r="L21" s="230"/>
      <c r="M21" s="230"/>
    </row>
    <row r="22" spans="1:13" s="315" customFormat="1" ht="47.25" customHeight="1" x14ac:dyDescent="0.2">
      <c r="A22" s="304" t="s">
        <v>28</v>
      </c>
      <c r="B22" s="39" t="s">
        <v>518</v>
      </c>
      <c r="C22" s="818" t="s">
        <v>313</v>
      </c>
      <c r="D22" s="817" t="s">
        <v>30</v>
      </c>
      <c r="E22" s="860">
        <v>8000</v>
      </c>
      <c r="F22" s="861">
        <v>4100</v>
      </c>
      <c r="G22" s="880">
        <v>329</v>
      </c>
      <c r="H22" s="579">
        <f t="shared" si="3"/>
        <v>4.1124999999999998</v>
      </c>
      <c r="I22" s="526">
        <f t="shared" si="4"/>
        <v>8.0243902439024399</v>
      </c>
      <c r="J22" s="477"/>
      <c r="K22" s="230"/>
      <c r="L22" s="230"/>
      <c r="M22" s="230"/>
    </row>
    <row r="23" spans="1:13" s="315" customFormat="1" ht="18.75" customHeight="1" x14ac:dyDescent="0.2">
      <c r="A23" s="819" t="s">
        <v>28</v>
      </c>
      <c r="B23" s="39" t="s">
        <v>389</v>
      </c>
      <c r="C23" s="818" t="s">
        <v>390</v>
      </c>
      <c r="D23" s="321" t="s">
        <v>30</v>
      </c>
      <c r="E23" s="881">
        <v>0</v>
      </c>
      <c r="F23" s="863">
        <v>58080</v>
      </c>
      <c r="G23" s="882">
        <v>0</v>
      </c>
      <c r="H23" s="820" t="s">
        <v>305</v>
      </c>
      <c r="I23" s="644">
        <f t="shared" si="4"/>
        <v>0</v>
      </c>
      <c r="J23" s="477"/>
      <c r="K23" s="230"/>
      <c r="L23" s="230"/>
      <c r="M23" s="230"/>
    </row>
    <row r="24" spans="1:13" s="315" customFormat="1" ht="26.25" customHeight="1" thickBot="1" x14ac:dyDescent="0.25">
      <c r="A24" s="326" t="s">
        <v>28</v>
      </c>
      <c r="B24" s="322" t="s">
        <v>519</v>
      </c>
      <c r="C24" s="821" t="s">
        <v>314</v>
      </c>
      <c r="D24" s="822" t="s">
        <v>30</v>
      </c>
      <c r="E24" s="862">
        <v>5900</v>
      </c>
      <c r="F24" s="863">
        <v>6454</v>
      </c>
      <c r="G24" s="882">
        <v>6273</v>
      </c>
      <c r="H24" s="809">
        <f t="shared" si="3"/>
        <v>106.32203389830508</v>
      </c>
      <c r="I24" s="644">
        <f t="shared" si="4"/>
        <v>97.195537651069102</v>
      </c>
      <c r="J24" s="477"/>
      <c r="K24" s="230"/>
      <c r="L24" s="230"/>
      <c r="M24" s="230"/>
    </row>
    <row r="25" spans="1:13" s="229" customFormat="1" ht="15.75" customHeight="1" thickBot="1" x14ac:dyDescent="0.3">
      <c r="A25" s="648" t="s">
        <v>315</v>
      </c>
      <c r="B25" s="649"/>
      <c r="C25" s="649"/>
      <c r="D25" s="649"/>
      <c r="E25" s="415">
        <f>E20+E21+E22+E24</f>
        <v>15319</v>
      </c>
      <c r="F25" s="414">
        <f>F20+F21+F22+F24+F23</f>
        <v>69899</v>
      </c>
      <c r="G25" s="415">
        <f t="shared" ref="G25" si="5">G20+G21+G22+G24</f>
        <v>7448</v>
      </c>
      <c r="H25" s="594">
        <f>(G25/E25)*100</f>
        <v>48.619361577126448</v>
      </c>
      <c r="I25" s="595">
        <f>(G25/F25)*100</f>
        <v>10.655374182749396</v>
      </c>
      <c r="J25" s="486"/>
    </row>
    <row r="26" spans="1:13" s="229" customFormat="1" ht="15.75" thickBot="1" x14ac:dyDescent="0.25">
      <c r="A26" s="486"/>
      <c r="B26" s="486"/>
      <c r="C26" s="486"/>
      <c r="D26" s="486"/>
      <c r="E26" s="661"/>
      <c r="F26" s="883"/>
      <c r="G26" s="661"/>
      <c r="H26" s="545"/>
      <c r="I26" s="545"/>
      <c r="J26" s="486"/>
    </row>
    <row r="27" spans="1:13" s="229" customFormat="1" ht="16.5" thickBot="1" x14ac:dyDescent="0.3">
      <c r="A27" s="1012" t="s">
        <v>379</v>
      </c>
      <c r="B27" s="1013"/>
      <c r="C27" s="1014"/>
      <c r="D27" s="483"/>
      <c r="E27" s="884">
        <f>E12+E25</f>
        <v>18314</v>
      </c>
      <c r="F27" s="414">
        <f t="shared" ref="F27:G27" si="6">F12+F25</f>
        <v>71734</v>
      </c>
      <c r="G27" s="415">
        <f t="shared" si="6"/>
        <v>7813</v>
      </c>
      <c r="H27" s="657">
        <f>(G27/E27)*100</f>
        <v>42.661351971169594</v>
      </c>
      <c r="I27" s="595">
        <f>(G27/F27)*100</f>
        <v>10.891627401232331</v>
      </c>
      <c r="J27" s="486"/>
    </row>
    <row r="28" spans="1:13" s="230" customFormat="1" ht="12.75" x14ac:dyDescent="0.2">
      <c r="A28" s="477"/>
      <c r="B28" s="477"/>
      <c r="C28" s="477"/>
      <c r="D28" s="477"/>
      <c r="E28" s="477"/>
      <c r="F28" s="477"/>
      <c r="G28" s="477"/>
      <c r="H28" s="477"/>
      <c r="I28" s="477"/>
      <c r="J28" s="477"/>
    </row>
    <row r="29" spans="1:13" s="336" customFormat="1" ht="14.25" x14ac:dyDescent="0.2"/>
  </sheetData>
  <mergeCells count="2">
    <mergeCell ref="A12:C12"/>
    <mergeCell ref="A27:C27"/>
  </mergeCells>
  <printOptions horizontalCentered="1"/>
  <pageMargins left="0.23622047244094491" right="0" top="0.39370078740157483" bottom="0.39370078740157483" header="0" footer="0"/>
  <pageSetup paperSize="9" scale="78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S464"/>
  <sheetViews>
    <sheetView topLeftCell="A70" zoomScaleNormal="100" workbookViewId="0">
      <selection activeCell="M13" sqref="M13"/>
    </sheetView>
  </sheetViews>
  <sheetFormatPr defaultColWidth="9.140625" defaultRowHeight="12.75" x14ac:dyDescent="0.2"/>
  <cols>
    <col min="1" max="1" width="11" style="238" customWidth="1"/>
    <col min="2" max="2" width="13.85546875" style="238" customWidth="1"/>
    <col min="3" max="3" width="51.5703125" style="238" customWidth="1"/>
    <col min="4" max="4" width="35.5703125" style="238" customWidth="1"/>
    <col min="5" max="5" width="12.85546875" style="238" customWidth="1"/>
    <col min="6" max="6" width="17.5703125" style="238" customWidth="1"/>
    <col min="7" max="7" width="12.140625" style="238" customWidth="1"/>
    <col min="8" max="8" width="10.42578125" style="238" customWidth="1"/>
    <col min="9" max="9" width="9.85546875" style="238" customWidth="1"/>
    <col min="10" max="10" width="5.85546875" style="230" customWidth="1"/>
    <col min="11" max="11" width="10.140625" style="846" bestFit="1" customWidth="1"/>
    <col min="12" max="16" width="9.140625" style="230"/>
    <col min="17" max="17" width="15" style="230" customWidth="1"/>
    <col min="18" max="19" width="9.140625" style="230"/>
    <col min="20" max="16384" width="9.140625" style="238"/>
  </cols>
  <sheetData>
    <row r="1" spans="1:19" s="235" customFormat="1" ht="15.75" x14ac:dyDescent="0.25">
      <c r="A1" s="233" t="s">
        <v>31</v>
      </c>
      <c r="B1" s="234"/>
      <c r="C1" s="234"/>
      <c r="D1" s="234"/>
      <c r="E1" s="229"/>
      <c r="F1" s="229"/>
      <c r="G1" s="229"/>
      <c r="H1" s="229"/>
      <c r="I1" s="229"/>
      <c r="J1" s="229"/>
      <c r="K1" s="845"/>
      <c r="L1" s="229"/>
      <c r="M1" s="229"/>
      <c r="N1" s="229"/>
      <c r="O1" s="229"/>
      <c r="P1" s="229"/>
      <c r="Q1" s="229"/>
      <c r="R1" s="229"/>
      <c r="S1" s="229"/>
    </row>
    <row r="2" spans="1:19" ht="13.5" thickBot="1" x14ac:dyDescent="0.25">
      <c r="A2" s="236"/>
      <c r="B2" s="237"/>
      <c r="C2" s="236"/>
      <c r="D2" s="236"/>
      <c r="E2" s="230"/>
      <c r="F2" s="230"/>
      <c r="G2" s="230"/>
      <c r="H2" s="230"/>
      <c r="I2" s="87" t="s">
        <v>603</v>
      </c>
    </row>
    <row r="3" spans="1:19" x14ac:dyDescent="0.2">
      <c r="A3" s="103" t="s">
        <v>1</v>
      </c>
      <c r="B3" s="104" t="s">
        <v>2</v>
      </c>
      <c r="C3" s="105" t="s">
        <v>3</v>
      </c>
      <c r="D3" s="239"/>
      <c r="E3" s="3" t="s">
        <v>4</v>
      </c>
      <c r="F3" s="3" t="s">
        <v>372</v>
      </c>
      <c r="G3" s="37" t="s">
        <v>306</v>
      </c>
      <c r="H3" s="69" t="s">
        <v>373</v>
      </c>
      <c r="I3" s="106" t="s">
        <v>373</v>
      </c>
    </row>
    <row r="4" spans="1:19" x14ac:dyDescent="0.2">
      <c r="A4" s="107" t="s">
        <v>5</v>
      </c>
      <c r="B4" s="108" t="s">
        <v>6</v>
      </c>
      <c r="C4" s="109" t="s">
        <v>7</v>
      </c>
      <c r="D4" s="110" t="s">
        <v>8</v>
      </c>
      <c r="E4" s="4" t="s">
        <v>242</v>
      </c>
      <c r="F4" s="4" t="s">
        <v>374</v>
      </c>
      <c r="G4" s="38" t="s">
        <v>307</v>
      </c>
      <c r="H4" s="70" t="s">
        <v>375</v>
      </c>
      <c r="I4" s="111" t="s">
        <v>376</v>
      </c>
    </row>
    <row r="5" spans="1:19" ht="13.5" thickBot="1" x14ac:dyDescent="0.25">
      <c r="A5" s="112" t="s">
        <v>9</v>
      </c>
      <c r="B5" s="113" t="s">
        <v>10</v>
      </c>
      <c r="C5" s="114"/>
      <c r="D5" s="115"/>
      <c r="E5" s="5" t="s">
        <v>293</v>
      </c>
      <c r="F5" s="338">
        <v>44561</v>
      </c>
      <c r="G5" s="338">
        <v>44561</v>
      </c>
      <c r="H5" s="71" t="s">
        <v>220</v>
      </c>
      <c r="I5" s="116" t="s">
        <v>220</v>
      </c>
    </row>
    <row r="6" spans="1:19" s="235" customFormat="1" ht="14.1" customHeight="1" x14ac:dyDescent="0.25">
      <c r="A6" s="400" t="s">
        <v>11</v>
      </c>
      <c r="B6" s="401"/>
      <c r="C6" s="401"/>
      <c r="D6" s="402"/>
      <c r="E6" s="403"/>
      <c r="F6" s="403"/>
      <c r="G6" s="403"/>
      <c r="H6" s="403"/>
      <c r="I6" s="323"/>
      <c r="J6" s="229"/>
      <c r="K6" s="845"/>
      <c r="L6" s="1020"/>
      <c r="M6" s="1020"/>
      <c r="N6" s="229"/>
      <c r="O6" s="229"/>
      <c r="P6" s="229"/>
      <c r="Q6" s="229"/>
      <c r="R6" s="229"/>
      <c r="S6" s="229"/>
    </row>
    <row r="7" spans="1:19" ht="14.1" customHeight="1" x14ac:dyDescent="0.2">
      <c r="A7" s="79" t="s">
        <v>32</v>
      </c>
      <c r="B7" s="386" t="s">
        <v>33</v>
      </c>
      <c r="C7" s="240"/>
      <c r="D7" s="241"/>
      <c r="E7" s="80">
        <f>E8+E72+E154+E159</f>
        <v>159975</v>
      </c>
      <c r="F7" s="857">
        <f>F8+F72+F159+F154</f>
        <v>226448.3</v>
      </c>
      <c r="G7" s="80">
        <f>G8+G72+G159+G154</f>
        <v>226447</v>
      </c>
      <c r="H7" s="242">
        <f t="shared" ref="H7:H49" si="0">(G7/E7)*100</f>
        <v>141.55149242069075</v>
      </c>
      <c r="I7" s="243">
        <f t="shared" ref="I7" si="1">(G7*100)/E7</f>
        <v>141.55149242069072</v>
      </c>
      <c r="L7" s="1020"/>
      <c r="M7" s="1020"/>
    </row>
    <row r="8" spans="1:19" ht="14.1" customHeight="1" x14ac:dyDescent="0.2">
      <c r="A8" s="47"/>
      <c r="B8" s="117"/>
      <c r="C8" s="118" t="s">
        <v>34</v>
      </c>
      <c r="D8" s="61"/>
      <c r="E8" s="895">
        <f>E9+E14+E17+E20+E23+E26+E29+E32+E35+E38+E41+E44+E47+E55+E58+E62+E65+E69</f>
        <v>28212</v>
      </c>
      <c r="F8" s="896">
        <f>F9+F14+F17+F20+F23+F26+F29+F32+F35+F38+F41+F44+F47+F55+F58+F62+F65+F69</f>
        <v>36354.100000000013</v>
      </c>
      <c r="G8" s="895">
        <f>G9+G14+G17+G20+G23+G26+G29+G32+G35+G38+G41+G44+G47+G55+G58+G62+G65+G69</f>
        <v>36354</v>
      </c>
      <c r="H8" s="242">
        <f>G8/E8*100</f>
        <v>128.86005954912804</v>
      </c>
      <c r="I8" s="243">
        <f>G8/F8*100</f>
        <v>99.999724927862303</v>
      </c>
      <c r="L8" s="313"/>
    </row>
    <row r="9" spans="1:19" ht="14.1" customHeight="1" x14ac:dyDescent="0.2">
      <c r="A9" s="119"/>
      <c r="B9" s="120" t="s">
        <v>35</v>
      </c>
      <c r="C9" s="121" t="s">
        <v>243</v>
      </c>
      <c r="D9" s="245" t="s">
        <v>36</v>
      </c>
      <c r="E9" s="246">
        <v>4217</v>
      </c>
      <c r="F9" s="247">
        <f>4313.8+360.3</f>
        <v>4674.1000000000004</v>
      </c>
      <c r="G9" s="246">
        <v>4674</v>
      </c>
      <c r="H9" s="248">
        <f t="shared" si="0"/>
        <v>110.837087977235</v>
      </c>
      <c r="I9" s="249">
        <f>G9/F9*100</f>
        <v>99.997860550694242</v>
      </c>
      <c r="L9" s="244"/>
    </row>
    <row r="10" spans="1:19" ht="14.1" customHeight="1" x14ac:dyDescent="0.2">
      <c r="A10" s="81"/>
      <c r="B10" s="122"/>
      <c r="C10" s="123" t="s">
        <v>244</v>
      </c>
      <c r="D10" s="62"/>
      <c r="E10" s="250">
        <v>1390</v>
      </c>
      <c r="F10" s="251">
        <v>1390</v>
      </c>
      <c r="G10" s="250">
        <v>1390</v>
      </c>
      <c r="H10" s="252">
        <f t="shared" si="0"/>
        <v>100</v>
      </c>
      <c r="I10" s="253">
        <f t="shared" ref="I10:I34" si="2">(G10/F10)*100</f>
        <v>100</v>
      </c>
    </row>
    <row r="11" spans="1:19" ht="14.1" customHeight="1" x14ac:dyDescent="0.2">
      <c r="A11" s="81"/>
      <c r="B11" s="122"/>
      <c r="C11" s="123" t="s">
        <v>234</v>
      </c>
      <c r="D11" s="62"/>
      <c r="E11" s="250">
        <v>1800</v>
      </c>
      <c r="F11" s="251">
        <v>1800</v>
      </c>
      <c r="G11" s="250">
        <v>1800</v>
      </c>
      <c r="H11" s="252">
        <f t="shared" si="0"/>
        <v>100</v>
      </c>
      <c r="I11" s="253">
        <f t="shared" si="2"/>
        <v>100</v>
      </c>
    </row>
    <row r="12" spans="1:19" ht="14.1" customHeight="1" x14ac:dyDescent="0.2">
      <c r="A12" s="81"/>
      <c r="B12" s="122"/>
      <c r="C12" s="123" t="s">
        <v>295</v>
      </c>
      <c r="D12" s="62"/>
      <c r="E12" s="250">
        <v>150</v>
      </c>
      <c r="F12" s="251">
        <v>150</v>
      </c>
      <c r="G12" s="250">
        <v>150</v>
      </c>
      <c r="H12" s="252">
        <f t="shared" si="0"/>
        <v>100</v>
      </c>
      <c r="I12" s="253">
        <f t="shared" si="2"/>
        <v>100</v>
      </c>
    </row>
    <row r="13" spans="1:19" ht="14.1" customHeight="1" x14ac:dyDescent="0.2">
      <c r="A13" s="81"/>
      <c r="B13" s="122"/>
      <c r="C13" s="123" t="s">
        <v>248</v>
      </c>
      <c r="D13" s="62"/>
      <c r="E13" s="250">
        <v>216</v>
      </c>
      <c r="F13" s="251">
        <v>216</v>
      </c>
      <c r="G13" s="250">
        <v>216</v>
      </c>
      <c r="H13" s="252">
        <f>(G13/E13)*100</f>
        <v>100</v>
      </c>
      <c r="I13" s="253">
        <f t="shared" si="2"/>
        <v>100</v>
      </c>
    </row>
    <row r="14" spans="1:19" ht="14.1" customHeight="1" x14ac:dyDescent="0.2">
      <c r="A14" s="119"/>
      <c r="B14" s="120" t="s">
        <v>37</v>
      </c>
      <c r="C14" s="124" t="s">
        <v>38</v>
      </c>
      <c r="D14" s="245" t="s">
        <v>36</v>
      </c>
      <c r="E14" s="254">
        <v>1110</v>
      </c>
      <c r="F14" s="255">
        <f>1288+269.6+374.8</f>
        <v>1932.3999999999999</v>
      </c>
      <c r="G14" s="254">
        <v>1932</v>
      </c>
      <c r="H14" s="248">
        <f t="shared" si="0"/>
        <v>174.05405405405406</v>
      </c>
      <c r="I14" s="249">
        <f>G14/F14*100</f>
        <v>99.979300351894025</v>
      </c>
    </row>
    <row r="15" spans="1:19" ht="14.1" customHeight="1" x14ac:dyDescent="0.2">
      <c r="A15" s="81"/>
      <c r="B15" s="122"/>
      <c r="C15" s="123" t="s">
        <v>244</v>
      </c>
      <c r="D15" s="62"/>
      <c r="E15" s="250">
        <v>637</v>
      </c>
      <c r="F15" s="251">
        <v>637</v>
      </c>
      <c r="G15" s="250">
        <v>637</v>
      </c>
      <c r="H15" s="252">
        <f t="shared" si="0"/>
        <v>100</v>
      </c>
      <c r="I15" s="253">
        <f t="shared" si="2"/>
        <v>100</v>
      </c>
    </row>
    <row r="16" spans="1:19" ht="14.1" customHeight="1" x14ac:dyDescent="0.2">
      <c r="A16" s="81"/>
      <c r="B16" s="122"/>
      <c r="C16" s="123" t="s">
        <v>248</v>
      </c>
      <c r="D16" s="62"/>
      <c r="E16" s="250">
        <v>40</v>
      </c>
      <c r="F16" s="251">
        <v>40</v>
      </c>
      <c r="G16" s="250">
        <v>40</v>
      </c>
      <c r="H16" s="252">
        <f t="shared" si="0"/>
        <v>100</v>
      </c>
      <c r="I16" s="253">
        <f t="shared" si="2"/>
        <v>100</v>
      </c>
    </row>
    <row r="17" spans="1:9" ht="14.1" customHeight="1" x14ac:dyDescent="0.2">
      <c r="A17" s="119"/>
      <c r="B17" s="120" t="s">
        <v>39</v>
      </c>
      <c r="C17" s="125" t="s">
        <v>40</v>
      </c>
      <c r="D17" s="245" t="s">
        <v>36</v>
      </c>
      <c r="E17" s="254">
        <v>1568</v>
      </c>
      <c r="F17" s="255">
        <f>1777+391.6</f>
        <v>2168.6</v>
      </c>
      <c r="G17" s="254">
        <v>2169</v>
      </c>
      <c r="H17" s="248">
        <f t="shared" si="0"/>
        <v>138.32908163265304</v>
      </c>
      <c r="I17" s="249">
        <f>G17/F17*100</f>
        <v>100.01844507977498</v>
      </c>
    </row>
    <row r="18" spans="1:9" ht="14.1" customHeight="1" x14ac:dyDescent="0.2">
      <c r="A18" s="81"/>
      <c r="B18" s="122"/>
      <c r="C18" s="123" t="s">
        <v>244</v>
      </c>
      <c r="D18" s="62"/>
      <c r="E18" s="250">
        <v>789</v>
      </c>
      <c r="F18" s="251">
        <v>789</v>
      </c>
      <c r="G18" s="250">
        <v>789</v>
      </c>
      <c r="H18" s="252">
        <f t="shared" si="0"/>
        <v>100</v>
      </c>
      <c r="I18" s="253">
        <f t="shared" si="2"/>
        <v>100</v>
      </c>
    </row>
    <row r="19" spans="1:9" ht="14.1" customHeight="1" x14ac:dyDescent="0.2">
      <c r="A19" s="81"/>
      <c r="B19" s="122"/>
      <c r="C19" s="123" t="s">
        <v>248</v>
      </c>
      <c r="D19" s="62"/>
      <c r="E19" s="250">
        <v>110</v>
      </c>
      <c r="F19" s="251">
        <v>110</v>
      </c>
      <c r="G19" s="250">
        <v>110</v>
      </c>
      <c r="H19" s="252">
        <f t="shared" si="0"/>
        <v>100</v>
      </c>
      <c r="I19" s="253">
        <f t="shared" si="2"/>
        <v>100</v>
      </c>
    </row>
    <row r="20" spans="1:9" ht="14.1" customHeight="1" x14ac:dyDescent="0.2">
      <c r="A20" s="119"/>
      <c r="B20" s="120" t="s">
        <v>41</v>
      </c>
      <c r="C20" s="124" t="s">
        <v>42</v>
      </c>
      <c r="D20" s="245" t="s">
        <v>36</v>
      </c>
      <c r="E20" s="254">
        <v>1221</v>
      </c>
      <c r="F20" s="255">
        <f>1371+186.6</f>
        <v>1557.6</v>
      </c>
      <c r="G20" s="254">
        <v>1558</v>
      </c>
      <c r="H20" s="248">
        <f t="shared" si="0"/>
        <v>127.6003276003276</v>
      </c>
      <c r="I20" s="249">
        <f>G20/F20*100</f>
        <v>100.02568053415513</v>
      </c>
    </row>
    <row r="21" spans="1:9" ht="14.1" customHeight="1" x14ac:dyDescent="0.2">
      <c r="A21" s="81"/>
      <c r="B21" s="122"/>
      <c r="C21" s="123" t="s">
        <v>244</v>
      </c>
      <c r="D21" s="62"/>
      <c r="E21" s="250">
        <v>670</v>
      </c>
      <c r="F21" s="251">
        <v>670</v>
      </c>
      <c r="G21" s="250">
        <v>670</v>
      </c>
      <c r="H21" s="252">
        <f t="shared" si="0"/>
        <v>100</v>
      </c>
      <c r="I21" s="253">
        <f t="shared" si="2"/>
        <v>100</v>
      </c>
    </row>
    <row r="22" spans="1:9" ht="14.1" customHeight="1" x14ac:dyDescent="0.2">
      <c r="A22" s="81"/>
      <c r="B22" s="122"/>
      <c r="C22" s="123" t="s">
        <v>248</v>
      </c>
      <c r="D22" s="62"/>
      <c r="E22" s="250">
        <v>186</v>
      </c>
      <c r="F22" s="251">
        <v>186</v>
      </c>
      <c r="G22" s="250">
        <v>186</v>
      </c>
      <c r="H22" s="252">
        <f t="shared" si="0"/>
        <v>100</v>
      </c>
      <c r="I22" s="253">
        <f t="shared" si="2"/>
        <v>100</v>
      </c>
    </row>
    <row r="23" spans="1:9" ht="14.1" customHeight="1" x14ac:dyDescent="0.2">
      <c r="A23" s="119"/>
      <c r="B23" s="120" t="s">
        <v>43</v>
      </c>
      <c r="C23" s="124" t="s">
        <v>44</v>
      </c>
      <c r="D23" s="245" t="s">
        <v>36</v>
      </c>
      <c r="E23" s="254">
        <v>1325</v>
      </c>
      <c r="F23" s="255">
        <f>1477+217.2</f>
        <v>1694.2</v>
      </c>
      <c r="G23" s="254">
        <v>1694</v>
      </c>
      <c r="H23" s="248">
        <f t="shared" si="0"/>
        <v>127.84905660377359</v>
      </c>
      <c r="I23" s="249">
        <f>G23/F23*100</f>
        <v>99.988195018297716</v>
      </c>
    </row>
    <row r="24" spans="1:9" ht="14.1" customHeight="1" x14ac:dyDescent="0.2">
      <c r="A24" s="81"/>
      <c r="B24" s="122"/>
      <c r="C24" s="123" t="s">
        <v>244</v>
      </c>
      <c r="D24" s="62"/>
      <c r="E24" s="250">
        <v>907</v>
      </c>
      <c r="F24" s="251">
        <v>907</v>
      </c>
      <c r="G24" s="250">
        <v>907</v>
      </c>
      <c r="H24" s="252">
        <f t="shared" si="0"/>
        <v>100</v>
      </c>
      <c r="I24" s="253">
        <f t="shared" si="2"/>
        <v>100</v>
      </c>
    </row>
    <row r="25" spans="1:9" ht="14.1" customHeight="1" x14ac:dyDescent="0.2">
      <c r="A25" s="81"/>
      <c r="B25" s="122"/>
      <c r="C25" s="123" t="s">
        <v>248</v>
      </c>
      <c r="D25" s="62"/>
      <c r="E25" s="250">
        <v>27</v>
      </c>
      <c r="F25" s="251">
        <v>27</v>
      </c>
      <c r="G25" s="250">
        <v>27</v>
      </c>
      <c r="H25" s="252">
        <f t="shared" si="0"/>
        <v>100</v>
      </c>
      <c r="I25" s="253">
        <f t="shared" si="2"/>
        <v>100</v>
      </c>
    </row>
    <row r="26" spans="1:9" ht="14.1" customHeight="1" x14ac:dyDescent="0.2">
      <c r="A26" s="119"/>
      <c r="B26" s="120" t="s">
        <v>45</v>
      </c>
      <c r="C26" s="124" t="s">
        <v>46</v>
      </c>
      <c r="D26" s="245" t="s">
        <v>36</v>
      </c>
      <c r="E26" s="254">
        <v>956</v>
      </c>
      <c r="F26" s="255">
        <f>1046+201.7</f>
        <v>1247.7</v>
      </c>
      <c r="G26" s="254">
        <v>1248</v>
      </c>
      <c r="H26" s="248">
        <f t="shared" si="0"/>
        <v>130.54393305439331</v>
      </c>
      <c r="I26" s="249">
        <f>G26/F26*100</f>
        <v>100.02404424140418</v>
      </c>
    </row>
    <row r="27" spans="1:9" ht="14.1" customHeight="1" x14ac:dyDescent="0.2">
      <c r="A27" s="81"/>
      <c r="B27" s="122"/>
      <c r="C27" s="123" t="s">
        <v>244</v>
      </c>
      <c r="D27" s="62"/>
      <c r="E27" s="250">
        <v>557</v>
      </c>
      <c r="F27" s="251">
        <v>557</v>
      </c>
      <c r="G27" s="250">
        <v>557</v>
      </c>
      <c r="H27" s="252">
        <f t="shared" si="0"/>
        <v>100</v>
      </c>
      <c r="I27" s="253">
        <f t="shared" si="2"/>
        <v>100</v>
      </c>
    </row>
    <row r="28" spans="1:9" ht="14.1" customHeight="1" x14ac:dyDescent="0.2">
      <c r="A28" s="81"/>
      <c r="B28" s="122"/>
      <c r="C28" s="123" t="s">
        <v>248</v>
      </c>
      <c r="D28" s="62"/>
      <c r="E28" s="250">
        <v>47</v>
      </c>
      <c r="F28" s="251">
        <v>47</v>
      </c>
      <c r="G28" s="250">
        <v>47</v>
      </c>
      <c r="H28" s="252">
        <f t="shared" si="0"/>
        <v>100</v>
      </c>
      <c r="I28" s="253">
        <f t="shared" si="2"/>
        <v>100</v>
      </c>
    </row>
    <row r="29" spans="1:9" ht="14.1" customHeight="1" x14ac:dyDescent="0.2">
      <c r="A29" s="119"/>
      <c r="B29" s="120" t="s">
        <v>47</v>
      </c>
      <c r="C29" s="124" t="s">
        <v>48</v>
      </c>
      <c r="D29" s="245" t="s">
        <v>36</v>
      </c>
      <c r="E29" s="254">
        <v>1784</v>
      </c>
      <c r="F29" s="255">
        <f>1784+352.2</f>
        <v>2136.1999999999998</v>
      </c>
      <c r="G29" s="254">
        <v>2136</v>
      </c>
      <c r="H29" s="248">
        <f t="shared" si="0"/>
        <v>119.73094170403587</v>
      </c>
      <c r="I29" s="249">
        <f>G29/F29*100</f>
        <v>99.990637580750871</v>
      </c>
    </row>
    <row r="30" spans="1:9" ht="14.1" customHeight="1" x14ac:dyDescent="0.2">
      <c r="A30" s="81"/>
      <c r="B30" s="122"/>
      <c r="C30" s="123" t="s">
        <v>244</v>
      </c>
      <c r="D30" s="62"/>
      <c r="E30" s="250">
        <v>938</v>
      </c>
      <c r="F30" s="251">
        <v>938</v>
      </c>
      <c r="G30" s="250">
        <v>938</v>
      </c>
      <c r="H30" s="252">
        <f t="shared" si="0"/>
        <v>100</v>
      </c>
      <c r="I30" s="253">
        <f t="shared" si="2"/>
        <v>100</v>
      </c>
    </row>
    <row r="31" spans="1:9" ht="14.1" customHeight="1" x14ac:dyDescent="0.2">
      <c r="A31" s="81"/>
      <c r="B31" s="122"/>
      <c r="C31" s="123" t="s">
        <v>248</v>
      </c>
      <c r="D31" s="62"/>
      <c r="E31" s="250">
        <v>162</v>
      </c>
      <c r="F31" s="251">
        <v>162</v>
      </c>
      <c r="G31" s="250">
        <v>162</v>
      </c>
      <c r="H31" s="252">
        <f t="shared" si="0"/>
        <v>100</v>
      </c>
      <c r="I31" s="253">
        <f t="shared" si="2"/>
        <v>100</v>
      </c>
    </row>
    <row r="32" spans="1:9" ht="14.1" customHeight="1" x14ac:dyDescent="0.2">
      <c r="A32" s="119"/>
      <c r="B32" s="120" t="s">
        <v>49</v>
      </c>
      <c r="C32" s="124" t="s">
        <v>50</v>
      </c>
      <c r="D32" s="245" t="s">
        <v>36</v>
      </c>
      <c r="E32" s="254">
        <v>1374</v>
      </c>
      <c r="F32" s="255">
        <f>1434+244.4</f>
        <v>1678.4</v>
      </c>
      <c r="G32" s="254">
        <v>1679</v>
      </c>
      <c r="H32" s="248">
        <f t="shared" si="0"/>
        <v>122.19796215429403</v>
      </c>
      <c r="I32" s="249">
        <f>G32/F32*100</f>
        <v>100.03574833174451</v>
      </c>
    </row>
    <row r="33" spans="1:9" ht="14.1" customHeight="1" x14ac:dyDescent="0.2">
      <c r="A33" s="81"/>
      <c r="B33" s="122"/>
      <c r="C33" s="123" t="s">
        <v>244</v>
      </c>
      <c r="D33" s="62"/>
      <c r="E33" s="250">
        <v>801</v>
      </c>
      <c r="F33" s="251">
        <v>801</v>
      </c>
      <c r="G33" s="250">
        <v>801</v>
      </c>
      <c r="H33" s="252">
        <f t="shared" si="0"/>
        <v>100</v>
      </c>
      <c r="I33" s="253">
        <f t="shared" si="2"/>
        <v>100</v>
      </c>
    </row>
    <row r="34" spans="1:9" ht="14.1" customHeight="1" x14ac:dyDescent="0.2">
      <c r="A34" s="81"/>
      <c r="B34" s="122"/>
      <c r="C34" s="123" t="s">
        <v>248</v>
      </c>
      <c r="D34" s="62"/>
      <c r="E34" s="250">
        <v>122</v>
      </c>
      <c r="F34" s="251">
        <v>122</v>
      </c>
      <c r="G34" s="250">
        <v>122</v>
      </c>
      <c r="H34" s="252">
        <f t="shared" si="0"/>
        <v>100</v>
      </c>
      <c r="I34" s="253">
        <f t="shared" si="2"/>
        <v>100</v>
      </c>
    </row>
    <row r="35" spans="1:9" ht="14.1" customHeight="1" x14ac:dyDescent="0.2">
      <c r="A35" s="119"/>
      <c r="B35" s="120" t="s">
        <v>51</v>
      </c>
      <c r="C35" s="124" t="s">
        <v>52</v>
      </c>
      <c r="D35" s="245" t="s">
        <v>36</v>
      </c>
      <c r="E35" s="254">
        <v>1726</v>
      </c>
      <c r="F35" s="255">
        <f>1846+363.7</f>
        <v>2209.6999999999998</v>
      </c>
      <c r="G35" s="254">
        <v>2210</v>
      </c>
      <c r="H35" s="248">
        <f t="shared" si="0"/>
        <v>128.04171494785632</v>
      </c>
      <c r="I35" s="249">
        <f>G35/F35*100</f>
        <v>100.01357650359779</v>
      </c>
    </row>
    <row r="36" spans="1:9" ht="14.1" customHeight="1" x14ac:dyDescent="0.2">
      <c r="A36" s="81"/>
      <c r="B36" s="122"/>
      <c r="C36" s="123" t="s">
        <v>245</v>
      </c>
      <c r="D36" s="62"/>
      <c r="E36" s="250">
        <v>1089</v>
      </c>
      <c r="F36" s="251">
        <v>1089</v>
      </c>
      <c r="G36" s="250">
        <v>1089</v>
      </c>
      <c r="H36" s="252">
        <f t="shared" si="0"/>
        <v>100</v>
      </c>
      <c r="I36" s="253">
        <f t="shared" ref="I36:I37" si="3">(G36*100)/E36</f>
        <v>100</v>
      </c>
    </row>
    <row r="37" spans="1:9" ht="14.1" customHeight="1" x14ac:dyDescent="0.2">
      <c r="A37" s="81"/>
      <c r="B37" s="122"/>
      <c r="C37" s="123" t="s">
        <v>248</v>
      </c>
      <c r="D37" s="62"/>
      <c r="E37" s="250">
        <v>81</v>
      </c>
      <c r="F37" s="251">
        <v>81</v>
      </c>
      <c r="G37" s="250">
        <v>81</v>
      </c>
      <c r="H37" s="252">
        <f t="shared" si="0"/>
        <v>100</v>
      </c>
      <c r="I37" s="253">
        <f t="shared" si="3"/>
        <v>100</v>
      </c>
    </row>
    <row r="38" spans="1:9" ht="14.1" customHeight="1" x14ac:dyDescent="0.2">
      <c r="A38" s="119"/>
      <c r="B38" s="120" t="s">
        <v>53</v>
      </c>
      <c r="C38" s="124" t="s">
        <v>54</v>
      </c>
      <c r="D38" s="245" t="s">
        <v>36</v>
      </c>
      <c r="E38" s="254">
        <v>1408</v>
      </c>
      <c r="F38" s="255">
        <f>1408+199.5</f>
        <v>1607.5</v>
      </c>
      <c r="G38" s="254">
        <v>1607</v>
      </c>
      <c r="H38" s="248">
        <f t="shared" si="0"/>
        <v>114.13352272727273</v>
      </c>
      <c r="I38" s="249">
        <f>G38/F38*100</f>
        <v>99.968895800933126</v>
      </c>
    </row>
    <row r="39" spans="1:9" ht="14.1" customHeight="1" x14ac:dyDescent="0.2">
      <c r="A39" s="81"/>
      <c r="B39" s="122"/>
      <c r="C39" s="123" t="s">
        <v>245</v>
      </c>
      <c r="D39" s="62"/>
      <c r="E39" s="250">
        <v>617</v>
      </c>
      <c r="F39" s="251">
        <v>617</v>
      </c>
      <c r="G39" s="250">
        <v>617</v>
      </c>
      <c r="H39" s="252">
        <f t="shared" si="0"/>
        <v>100</v>
      </c>
      <c r="I39" s="253">
        <f t="shared" ref="I39:I40" si="4">(G39/F39)*100</f>
        <v>100</v>
      </c>
    </row>
    <row r="40" spans="1:9" ht="14.1" customHeight="1" x14ac:dyDescent="0.2">
      <c r="A40" s="81"/>
      <c r="B40" s="122"/>
      <c r="C40" s="123" t="s">
        <v>248</v>
      </c>
      <c r="D40" s="62"/>
      <c r="E40" s="250">
        <v>433</v>
      </c>
      <c r="F40" s="251">
        <v>433</v>
      </c>
      <c r="G40" s="250">
        <v>433</v>
      </c>
      <c r="H40" s="252">
        <f t="shared" si="0"/>
        <v>100</v>
      </c>
      <c r="I40" s="253">
        <f t="shared" si="4"/>
        <v>100</v>
      </c>
    </row>
    <row r="41" spans="1:9" ht="14.1" customHeight="1" x14ac:dyDescent="0.2">
      <c r="A41" s="119"/>
      <c r="B41" s="120" t="s">
        <v>55</v>
      </c>
      <c r="C41" s="124" t="s">
        <v>56</v>
      </c>
      <c r="D41" s="245" t="s">
        <v>36</v>
      </c>
      <c r="E41" s="254">
        <v>939</v>
      </c>
      <c r="F41" s="255">
        <f>993+191.6</f>
        <v>1184.5999999999999</v>
      </c>
      <c r="G41" s="254">
        <v>1185</v>
      </c>
      <c r="H41" s="248">
        <f t="shared" si="0"/>
        <v>126.19808306709265</v>
      </c>
      <c r="I41" s="249">
        <f>G41/F41*100</f>
        <v>100.03376667229445</v>
      </c>
    </row>
    <row r="42" spans="1:9" ht="14.1" customHeight="1" x14ac:dyDescent="0.2">
      <c r="A42" s="81"/>
      <c r="B42" s="122"/>
      <c r="C42" s="123" t="s">
        <v>244</v>
      </c>
      <c r="D42" s="62"/>
      <c r="E42" s="250">
        <v>483</v>
      </c>
      <c r="F42" s="251">
        <v>483</v>
      </c>
      <c r="G42" s="250">
        <v>483</v>
      </c>
      <c r="H42" s="252">
        <f t="shared" si="0"/>
        <v>100</v>
      </c>
      <c r="I42" s="253">
        <f t="shared" ref="I42:I43" si="5">(G42/F42)*100</f>
        <v>100</v>
      </c>
    </row>
    <row r="43" spans="1:9" ht="14.1" customHeight="1" x14ac:dyDescent="0.2">
      <c r="A43" s="81"/>
      <c r="B43" s="122"/>
      <c r="C43" s="123" t="s">
        <v>248</v>
      </c>
      <c r="D43" s="62"/>
      <c r="E43" s="250">
        <v>112</v>
      </c>
      <c r="F43" s="251">
        <v>112</v>
      </c>
      <c r="G43" s="250">
        <v>112</v>
      </c>
      <c r="H43" s="252">
        <f t="shared" si="0"/>
        <v>100</v>
      </c>
      <c r="I43" s="253">
        <f t="shared" si="5"/>
        <v>100</v>
      </c>
    </row>
    <row r="44" spans="1:9" ht="14.1" customHeight="1" x14ac:dyDescent="0.2">
      <c r="A44" s="119"/>
      <c r="B44" s="120" t="s">
        <v>57</v>
      </c>
      <c r="C44" s="124" t="s">
        <v>58</v>
      </c>
      <c r="D44" s="245" t="s">
        <v>36</v>
      </c>
      <c r="E44" s="254">
        <v>1632</v>
      </c>
      <c r="F44" s="255">
        <f>1632+254</f>
        <v>1886</v>
      </c>
      <c r="G44" s="254">
        <v>1886</v>
      </c>
      <c r="H44" s="248">
        <f t="shared" si="0"/>
        <v>115.56372549019606</v>
      </c>
      <c r="I44" s="249">
        <f>G44/F44*100</f>
        <v>100</v>
      </c>
    </row>
    <row r="45" spans="1:9" ht="14.1" customHeight="1" x14ac:dyDescent="0.2">
      <c r="A45" s="81"/>
      <c r="B45" s="122"/>
      <c r="C45" s="123" t="s">
        <v>246</v>
      </c>
      <c r="D45" s="62"/>
      <c r="E45" s="250">
        <v>978</v>
      </c>
      <c r="F45" s="251">
        <v>978</v>
      </c>
      <c r="G45" s="250">
        <v>978</v>
      </c>
      <c r="H45" s="252">
        <f t="shared" si="0"/>
        <v>100</v>
      </c>
      <c r="I45" s="253">
        <f t="shared" ref="I45:I46" si="6">(G45/F45)*100</f>
        <v>100</v>
      </c>
    </row>
    <row r="46" spans="1:9" ht="14.1" customHeight="1" x14ac:dyDescent="0.2">
      <c r="A46" s="81"/>
      <c r="B46" s="122"/>
      <c r="C46" s="123" t="s">
        <v>248</v>
      </c>
      <c r="D46" s="62"/>
      <c r="E46" s="250">
        <v>182</v>
      </c>
      <c r="F46" s="251">
        <v>182</v>
      </c>
      <c r="G46" s="250">
        <v>182</v>
      </c>
      <c r="H46" s="252">
        <f t="shared" si="0"/>
        <v>100</v>
      </c>
      <c r="I46" s="253">
        <f t="shared" si="6"/>
        <v>100</v>
      </c>
    </row>
    <row r="47" spans="1:9" ht="14.1" customHeight="1" x14ac:dyDescent="0.2">
      <c r="A47" s="119"/>
      <c r="B47" s="120" t="s">
        <v>59</v>
      </c>
      <c r="C47" s="124" t="s">
        <v>60</v>
      </c>
      <c r="D47" s="245" t="s">
        <v>36</v>
      </c>
      <c r="E47" s="254">
        <v>1381</v>
      </c>
      <c r="F47" s="255">
        <f>1381+237.9+338.4</f>
        <v>1957.3000000000002</v>
      </c>
      <c r="G47" s="254">
        <v>1957</v>
      </c>
      <c r="H47" s="248">
        <f t="shared" si="0"/>
        <v>141.70890658942795</v>
      </c>
      <c r="I47" s="249">
        <f>G47/F47*100</f>
        <v>99.98467276350074</v>
      </c>
    </row>
    <row r="48" spans="1:9" ht="14.1" customHeight="1" x14ac:dyDescent="0.2">
      <c r="A48" s="81"/>
      <c r="B48" s="122"/>
      <c r="C48" s="123" t="s">
        <v>244</v>
      </c>
      <c r="D48" s="62"/>
      <c r="E48" s="250">
        <v>917</v>
      </c>
      <c r="F48" s="251">
        <v>917</v>
      </c>
      <c r="G48" s="250">
        <v>917</v>
      </c>
      <c r="H48" s="252">
        <f t="shared" si="0"/>
        <v>100</v>
      </c>
      <c r="I48" s="253">
        <f t="shared" ref="I48:I49" si="7">(G48/F48)*100</f>
        <v>100</v>
      </c>
    </row>
    <row r="49" spans="1:9" ht="14.1" customHeight="1" thickBot="1" x14ac:dyDescent="0.25">
      <c r="A49" s="126"/>
      <c r="B49" s="127"/>
      <c r="C49" s="128" t="s">
        <v>248</v>
      </c>
      <c r="D49" s="256"/>
      <c r="E49" s="257">
        <v>72</v>
      </c>
      <c r="F49" s="258">
        <v>72</v>
      </c>
      <c r="G49" s="257">
        <v>72</v>
      </c>
      <c r="H49" s="259">
        <f t="shared" si="0"/>
        <v>100</v>
      </c>
      <c r="I49" s="260">
        <f t="shared" si="7"/>
        <v>100</v>
      </c>
    </row>
    <row r="50" spans="1:9" ht="14.1" customHeight="1" x14ac:dyDescent="0.2">
      <c r="A50" s="129"/>
      <c r="B50" s="129"/>
      <c r="C50" s="130"/>
      <c r="D50" s="261"/>
      <c r="E50" s="262"/>
      <c r="F50" s="262"/>
      <c r="G50" s="263"/>
      <c r="H50" s="263"/>
      <c r="I50" s="264"/>
    </row>
    <row r="51" spans="1:9" ht="12" customHeight="1" thickBot="1" x14ac:dyDescent="0.25">
      <c r="A51" s="129"/>
      <c r="B51" s="129"/>
      <c r="C51" s="130"/>
      <c r="D51" s="261"/>
      <c r="E51" s="262"/>
      <c r="F51" s="262"/>
      <c r="G51" s="263"/>
      <c r="H51" s="263"/>
      <c r="I51" s="87" t="s">
        <v>602</v>
      </c>
    </row>
    <row r="52" spans="1:9" x14ac:dyDescent="0.2">
      <c r="A52" s="103" t="s">
        <v>1</v>
      </c>
      <c r="B52" s="104" t="s">
        <v>2</v>
      </c>
      <c r="C52" s="105" t="s">
        <v>3</v>
      </c>
      <c r="D52" s="239"/>
      <c r="E52" s="3" t="s">
        <v>4</v>
      </c>
      <c r="F52" s="3" t="s">
        <v>372</v>
      </c>
      <c r="G52" s="37" t="s">
        <v>306</v>
      </c>
      <c r="H52" s="51" t="s">
        <v>373</v>
      </c>
      <c r="I52" s="76" t="s">
        <v>373</v>
      </c>
    </row>
    <row r="53" spans="1:9" ht="14.25" customHeight="1" x14ac:dyDescent="0.2">
      <c r="A53" s="107" t="s">
        <v>5</v>
      </c>
      <c r="B53" s="108" t="s">
        <v>6</v>
      </c>
      <c r="C53" s="109" t="s">
        <v>7</v>
      </c>
      <c r="D53" s="110" t="s">
        <v>8</v>
      </c>
      <c r="E53" s="4" t="s">
        <v>242</v>
      </c>
      <c r="F53" s="4" t="s">
        <v>374</v>
      </c>
      <c r="G53" s="38" t="s">
        <v>307</v>
      </c>
      <c r="H53" s="52" t="s">
        <v>375</v>
      </c>
      <c r="I53" s="77" t="s">
        <v>376</v>
      </c>
    </row>
    <row r="54" spans="1:9" ht="13.5" customHeight="1" thickBot="1" x14ac:dyDescent="0.25">
      <c r="A54" s="112" t="s">
        <v>9</v>
      </c>
      <c r="B54" s="131" t="s">
        <v>10</v>
      </c>
      <c r="C54" s="114"/>
      <c r="D54" s="115"/>
      <c r="E54" s="5" t="s">
        <v>293</v>
      </c>
      <c r="F54" s="338">
        <v>44561</v>
      </c>
      <c r="G54" s="338">
        <v>44561</v>
      </c>
      <c r="H54" s="53" t="s">
        <v>220</v>
      </c>
      <c r="I54" s="78" t="s">
        <v>220</v>
      </c>
    </row>
    <row r="55" spans="1:9" ht="14.1" customHeight="1" x14ac:dyDescent="0.2">
      <c r="A55" s="394"/>
      <c r="B55" s="395" t="s">
        <v>61</v>
      </c>
      <c r="C55" s="396" t="s">
        <v>62</v>
      </c>
      <c r="D55" s="397" t="s">
        <v>36</v>
      </c>
      <c r="E55" s="398">
        <v>1008</v>
      </c>
      <c r="F55" s="399">
        <f>1168.8+221.1</f>
        <v>1389.8999999999999</v>
      </c>
      <c r="G55" s="398">
        <v>1390</v>
      </c>
      <c r="H55" s="393">
        <f>(G55/E55)*100</f>
        <v>137.89682539682539</v>
      </c>
      <c r="I55" s="277">
        <f>G55/F55*100</f>
        <v>100.00719476221312</v>
      </c>
    </row>
    <row r="56" spans="1:9" ht="14.1" customHeight="1" x14ac:dyDescent="0.2">
      <c r="A56" s="81"/>
      <c r="B56" s="122"/>
      <c r="C56" s="123" t="s">
        <v>244</v>
      </c>
      <c r="D56" s="62"/>
      <c r="E56" s="250">
        <v>581</v>
      </c>
      <c r="F56" s="251">
        <v>581</v>
      </c>
      <c r="G56" s="250">
        <v>581</v>
      </c>
      <c r="H56" s="252">
        <f t="shared" ref="H56:H57" si="8">(G56/E56)*100</f>
        <v>100</v>
      </c>
      <c r="I56" s="253">
        <f t="shared" ref="I56:I57" si="9">(G56/F56)*100</f>
        <v>100</v>
      </c>
    </row>
    <row r="57" spans="1:9" ht="14.1" customHeight="1" x14ac:dyDescent="0.2">
      <c r="A57" s="81"/>
      <c r="B57" s="122"/>
      <c r="C57" s="123" t="s">
        <v>248</v>
      </c>
      <c r="D57" s="62"/>
      <c r="E57" s="250">
        <v>73</v>
      </c>
      <c r="F57" s="251">
        <v>73</v>
      </c>
      <c r="G57" s="250">
        <v>73</v>
      </c>
      <c r="H57" s="252">
        <f t="shared" si="8"/>
        <v>100</v>
      </c>
      <c r="I57" s="253">
        <f t="shared" si="9"/>
        <v>100</v>
      </c>
    </row>
    <row r="58" spans="1:9" ht="14.1" customHeight="1" x14ac:dyDescent="0.2">
      <c r="A58" s="119"/>
      <c r="B58" s="120" t="s">
        <v>63</v>
      </c>
      <c r="C58" s="124" t="s">
        <v>64</v>
      </c>
      <c r="D58" s="245" t="s">
        <v>36</v>
      </c>
      <c r="E58" s="254">
        <v>1744</v>
      </c>
      <c r="F58" s="255">
        <f>1829+370.2+446.2</f>
        <v>2645.3999999999996</v>
      </c>
      <c r="G58" s="254">
        <v>2645</v>
      </c>
      <c r="H58" s="248">
        <f>(G58/E58)*100</f>
        <v>151.66284403669727</v>
      </c>
      <c r="I58" s="249">
        <f>G58/F58*100</f>
        <v>99.984879413321252</v>
      </c>
    </row>
    <row r="59" spans="1:9" ht="14.1" customHeight="1" x14ac:dyDescent="0.2">
      <c r="A59" s="81"/>
      <c r="B59" s="122"/>
      <c r="C59" s="123" t="s">
        <v>244</v>
      </c>
      <c r="D59" s="62"/>
      <c r="E59" s="250">
        <v>875</v>
      </c>
      <c r="F59" s="251">
        <v>875</v>
      </c>
      <c r="G59" s="250">
        <v>875</v>
      </c>
      <c r="H59" s="252">
        <f t="shared" ref="H59:H61" si="10">(G59/E59)*100</f>
        <v>100</v>
      </c>
      <c r="I59" s="253">
        <f t="shared" ref="I59:I61" si="11">(G59/F59)*100</f>
        <v>100</v>
      </c>
    </row>
    <row r="60" spans="1:9" ht="14.1" customHeight="1" x14ac:dyDescent="0.2">
      <c r="A60" s="81"/>
      <c r="B60" s="122"/>
      <c r="C60" s="123" t="s">
        <v>248</v>
      </c>
      <c r="D60" s="62"/>
      <c r="E60" s="250">
        <v>65</v>
      </c>
      <c r="F60" s="251">
        <v>65</v>
      </c>
      <c r="G60" s="250">
        <v>65</v>
      </c>
      <c r="H60" s="252">
        <f t="shared" si="10"/>
        <v>100</v>
      </c>
      <c r="I60" s="253">
        <f t="shared" si="11"/>
        <v>100</v>
      </c>
    </row>
    <row r="61" spans="1:9" ht="14.1" customHeight="1" x14ac:dyDescent="0.2">
      <c r="A61" s="81"/>
      <c r="B61" s="122"/>
      <c r="C61" s="49" t="s">
        <v>236</v>
      </c>
      <c r="D61" s="62"/>
      <c r="E61" s="250">
        <v>200</v>
      </c>
      <c r="F61" s="251">
        <v>200</v>
      </c>
      <c r="G61" s="250">
        <v>200</v>
      </c>
      <c r="H61" s="252">
        <f t="shared" si="10"/>
        <v>100</v>
      </c>
      <c r="I61" s="253">
        <f t="shared" si="11"/>
        <v>100</v>
      </c>
    </row>
    <row r="62" spans="1:9" ht="14.1" customHeight="1" x14ac:dyDescent="0.2">
      <c r="A62" s="119"/>
      <c r="B62" s="120" t="s">
        <v>65</v>
      </c>
      <c r="C62" s="124" t="s">
        <v>66</v>
      </c>
      <c r="D62" s="245" t="s">
        <v>36</v>
      </c>
      <c r="E62" s="254">
        <v>1393</v>
      </c>
      <c r="F62" s="255">
        <f>1393+267.6+18.3</f>
        <v>1678.8999999999999</v>
      </c>
      <c r="G62" s="254">
        <v>1679</v>
      </c>
      <c r="H62" s="248">
        <f>(G62/E62)*100</f>
        <v>120.53122756640344</v>
      </c>
      <c r="I62" s="249">
        <f>G62/F62*100</f>
        <v>100.00595628089822</v>
      </c>
    </row>
    <row r="63" spans="1:9" ht="14.1" customHeight="1" x14ac:dyDescent="0.2">
      <c r="A63" s="81"/>
      <c r="B63" s="122"/>
      <c r="C63" s="123" t="s">
        <v>244</v>
      </c>
      <c r="D63" s="62"/>
      <c r="E63" s="250">
        <v>846</v>
      </c>
      <c r="F63" s="251">
        <v>846</v>
      </c>
      <c r="G63" s="250">
        <v>846</v>
      </c>
      <c r="H63" s="252">
        <f t="shared" ref="H63:H64" si="12">(G63/E63)*100</f>
        <v>100</v>
      </c>
      <c r="I63" s="253">
        <f t="shared" ref="I63:I64" si="13">(G63/F63)*100</f>
        <v>100</v>
      </c>
    </row>
    <row r="64" spans="1:9" ht="14.1" customHeight="1" x14ac:dyDescent="0.2">
      <c r="A64" s="81"/>
      <c r="B64" s="122"/>
      <c r="C64" s="123" t="s">
        <v>248</v>
      </c>
      <c r="D64" s="62"/>
      <c r="E64" s="250">
        <v>90</v>
      </c>
      <c r="F64" s="251">
        <v>90</v>
      </c>
      <c r="G64" s="250">
        <v>90</v>
      </c>
      <c r="H64" s="252">
        <f t="shared" si="12"/>
        <v>100</v>
      </c>
      <c r="I64" s="253">
        <f t="shared" si="13"/>
        <v>100</v>
      </c>
    </row>
    <row r="65" spans="1:9" ht="14.1" customHeight="1" x14ac:dyDescent="0.2">
      <c r="A65" s="119"/>
      <c r="B65" s="120" t="s">
        <v>67</v>
      </c>
      <c r="C65" s="124" t="s">
        <v>68</v>
      </c>
      <c r="D65" s="245" t="s">
        <v>36</v>
      </c>
      <c r="E65" s="254">
        <v>1144</v>
      </c>
      <c r="F65" s="255">
        <f>1144+235.3</f>
        <v>1379.3</v>
      </c>
      <c r="G65" s="254">
        <v>1379</v>
      </c>
      <c r="H65" s="248">
        <f>(G65/E65)*100</f>
        <v>120.54195804195804</v>
      </c>
      <c r="I65" s="249">
        <f>G65/F65*100</f>
        <v>99.978249836873772</v>
      </c>
    </row>
    <row r="66" spans="1:9" ht="14.1" customHeight="1" x14ac:dyDescent="0.2">
      <c r="A66" s="81"/>
      <c r="B66" s="122"/>
      <c r="C66" s="123" t="s">
        <v>244</v>
      </c>
      <c r="D66" s="62"/>
      <c r="E66" s="250">
        <v>463</v>
      </c>
      <c r="F66" s="251">
        <v>463</v>
      </c>
      <c r="G66" s="250">
        <v>463</v>
      </c>
      <c r="H66" s="252">
        <f t="shared" ref="H66:H68" si="14">(G66/E66)*100</f>
        <v>100</v>
      </c>
      <c r="I66" s="253">
        <f t="shared" ref="I66:I93" si="15">(G66*100)/E66</f>
        <v>100</v>
      </c>
    </row>
    <row r="67" spans="1:9" ht="14.1" customHeight="1" x14ac:dyDescent="0.2">
      <c r="A67" s="81"/>
      <c r="B67" s="122"/>
      <c r="C67" s="123" t="s">
        <v>236</v>
      </c>
      <c r="D67" s="62"/>
      <c r="E67" s="265">
        <v>250</v>
      </c>
      <c r="F67" s="266">
        <v>250</v>
      </c>
      <c r="G67" s="265">
        <v>250</v>
      </c>
      <c r="H67" s="252">
        <f t="shared" si="14"/>
        <v>100</v>
      </c>
      <c r="I67" s="253">
        <f t="shared" si="15"/>
        <v>100</v>
      </c>
    </row>
    <row r="68" spans="1:9" ht="14.1" customHeight="1" x14ac:dyDescent="0.2">
      <c r="A68" s="81"/>
      <c r="B68" s="122"/>
      <c r="C68" s="123" t="s">
        <v>248</v>
      </c>
      <c r="D68" s="62"/>
      <c r="E68" s="250">
        <v>16</v>
      </c>
      <c r="F68" s="251">
        <v>16</v>
      </c>
      <c r="G68" s="250">
        <v>16</v>
      </c>
      <c r="H68" s="252">
        <f t="shared" si="14"/>
        <v>100</v>
      </c>
      <c r="I68" s="253">
        <f t="shared" ref="I68" si="16">(G68/F68)*100</f>
        <v>100</v>
      </c>
    </row>
    <row r="69" spans="1:9" ht="14.1" customHeight="1" x14ac:dyDescent="0.2">
      <c r="A69" s="119"/>
      <c r="B69" s="120" t="s">
        <v>69</v>
      </c>
      <c r="C69" s="124" t="s">
        <v>70</v>
      </c>
      <c r="D69" s="245" t="s">
        <v>36</v>
      </c>
      <c r="E69" s="254">
        <v>2282</v>
      </c>
      <c r="F69" s="255">
        <f>2922.7+403.6</f>
        <v>3326.2999999999997</v>
      </c>
      <c r="G69" s="254">
        <v>3326</v>
      </c>
      <c r="H69" s="248">
        <f>(G69/E69)*100</f>
        <v>145.74934268185802</v>
      </c>
      <c r="I69" s="249">
        <f>G69/F69*100</f>
        <v>99.99098096984639</v>
      </c>
    </row>
    <row r="70" spans="1:9" ht="14.1" customHeight="1" x14ac:dyDescent="0.2">
      <c r="A70" s="81"/>
      <c r="B70" s="122"/>
      <c r="C70" s="123" t="s">
        <v>244</v>
      </c>
      <c r="D70" s="62"/>
      <c r="E70" s="250">
        <v>965</v>
      </c>
      <c r="F70" s="251">
        <v>965</v>
      </c>
      <c r="G70" s="250">
        <v>965</v>
      </c>
      <c r="H70" s="252">
        <f t="shared" ref="H70:H71" si="17">(G70/E70)*100</f>
        <v>100</v>
      </c>
      <c r="I70" s="253">
        <f t="shared" ref="I70:I71" si="18">(G70/F70)*100</f>
        <v>100</v>
      </c>
    </row>
    <row r="71" spans="1:9" ht="14.1" customHeight="1" x14ac:dyDescent="0.2">
      <c r="A71" s="81"/>
      <c r="B71" s="122"/>
      <c r="C71" s="123" t="s">
        <v>249</v>
      </c>
      <c r="D71" s="62"/>
      <c r="E71" s="250">
        <v>630</v>
      </c>
      <c r="F71" s="251">
        <v>630</v>
      </c>
      <c r="G71" s="250">
        <v>630</v>
      </c>
      <c r="H71" s="252">
        <f t="shared" si="17"/>
        <v>100</v>
      </c>
      <c r="I71" s="253">
        <f t="shared" si="18"/>
        <v>100</v>
      </c>
    </row>
    <row r="72" spans="1:9" ht="14.1" customHeight="1" x14ac:dyDescent="0.2">
      <c r="A72" s="79" t="s">
        <v>32</v>
      </c>
      <c r="B72" s="132"/>
      <c r="C72" s="385" t="s">
        <v>71</v>
      </c>
      <c r="D72" s="267"/>
      <c r="E72" s="268">
        <f>E73+E76+E80+E83+E86+E91+E94+E103+E106+E109+E112+E116+E119+E122+E125</f>
        <v>81863</v>
      </c>
      <c r="F72" s="269">
        <f>F73+F76+F80+F83+F86+F91+F94+F103+F106+F109+F112+F116+F119+F122+F125</f>
        <v>119967.49999999999</v>
      </c>
      <c r="G72" s="268">
        <f>G73+G76+G80+G83+G86+G91+G94+G103+G106+G109+G112+G116+G119+G122+G125</f>
        <v>119967</v>
      </c>
      <c r="H72" s="242">
        <f>G72/E72*100</f>
        <v>146.54605865897904</v>
      </c>
      <c r="I72" s="243">
        <f>G72/F72*100</f>
        <v>99.999583220455563</v>
      </c>
    </row>
    <row r="73" spans="1:9" ht="14.1" customHeight="1" x14ac:dyDescent="0.2">
      <c r="A73" s="133"/>
      <c r="B73" s="134" t="s">
        <v>72</v>
      </c>
      <c r="C73" s="135" t="s">
        <v>73</v>
      </c>
      <c r="D73" s="270" t="s">
        <v>74</v>
      </c>
      <c r="E73" s="136">
        <v>5923</v>
      </c>
      <c r="F73" s="137">
        <f>6228.5+803.3+806.8</f>
        <v>7838.6</v>
      </c>
      <c r="G73" s="136">
        <v>7839</v>
      </c>
      <c r="H73" s="248">
        <f>(G73/E73)*100</f>
        <v>132.34847205807867</v>
      </c>
      <c r="I73" s="249">
        <f>G73/F73*100</f>
        <v>100.00510295205775</v>
      </c>
    </row>
    <row r="74" spans="1:9" ht="14.1" customHeight="1" x14ac:dyDescent="0.2">
      <c r="A74" s="138"/>
      <c r="B74" s="139"/>
      <c r="C74" s="49" t="s">
        <v>246</v>
      </c>
      <c r="D74" s="271"/>
      <c r="E74" s="140">
        <v>2226</v>
      </c>
      <c r="F74" s="74">
        <v>2226</v>
      </c>
      <c r="G74" s="140">
        <v>2226</v>
      </c>
      <c r="H74" s="252">
        <f t="shared" ref="H74:H75" si="19">(G74/E74)*100</f>
        <v>100</v>
      </c>
      <c r="I74" s="253">
        <f t="shared" ref="I74:I75" si="20">(G74/F74)*100</f>
        <v>100</v>
      </c>
    </row>
    <row r="75" spans="1:9" ht="14.1" customHeight="1" x14ac:dyDescent="0.2">
      <c r="A75" s="138"/>
      <c r="B75" s="139"/>
      <c r="C75" s="123" t="s">
        <v>248</v>
      </c>
      <c r="D75" s="271"/>
      <c r="E75" s="140">
        <v>2651</v>
      </c>
      <c r="F75" s="74">
        <v>2651</v>
      </c>
      <c r="G75" s="140">
        <v>2651</v>
      </c>
      <c r="H75" s="252">
        <f t="shared" si="19"/>
        <v>100</v>
      </c>
      <c r="I75" s="253">
        <f t="shared" si="20"/>
        <v>100</v>
      </c>
    </row>
    <row r="76" spans="1:9" ht="14.1" customHeight="1" x14ac:dyDescent="0.2">
      <c r="A76" s="133"/>
      <c r="B76" s="134" t="s">
        <v>75</v>
      </c>
      <c r="C76" s="135" t="s">
        <v>76</v>
      </c>
      <c r="D76" s="270" t="s">
        <v>74</v>
      </c>
      <c r="E76" s="136">
        <v>3681</v>
      </c>
      <c r="F76" s="137">
        <f>3722.9+998.1+1023.6</f>
        <v>5744.6</v>
      </c>
      <c r="G76" s="136">
        <v>5745</v>
      </c>
      <c r="H76" s="248">
        <f>(G76/E76)*100</f>
        <v>156.07171964140178</v>
      </c>
      <c r="I76" s="249">
        <f>G76/F76*100</f>
        <v>100.0069630609616</v>
      </c>
    </row>
    <row r="77" spans="1:9" ht="14.1" customHeight="1" x14ac:dyDescent="0.2">
      <c r="A77" s="138"/>
      <c r="B77" s="139"/>
      <c r="C77" s="49" t="s">
        <v>246</v>
      </c>
      <c r="D77" s="272"/>
      <c r="E77" s="140">
        <v>2213</v>
      </c>
      <c r="F77" s="74">
        <v>2213</v>
      </c>
      <c r="G77" s="140">
        <v>2213</v>
      </c>
      <c r="H77" s="252">
        <f t="shared" ref="H77:H79" si="21">(G77/E77)*100</f>
        <v>100</v>
      </c>
      <c r="I77" s="253">
        <f t="shared" ref="I77:I79" si="22">(G77/F77)*100</f>
        <v>100</v>
      </c>
    </row>
    <row r="78" spans="1:9" ht="14.1" customHeight="1" x14ac:dyDescent="0.2">
      <c r="A78" s="138"/>
      <c r="B78" s="139"/>
      <c r="C78" s="123" t="s">
        <v>296</v>
      </c>
      <c r="D78" s="272"/>
      <c r="E78" s="140">
        <v>112</v>
      </c>
      <c r="F78" s="74">
        <v>112</v>
      </c>
      <c r="G78" s="140">
        <v>112</v>
      </c>
      <c r="H78" s="252">
        <f t="shared" si="21"/>
        <v>100</v>
      </c>
      <c r="I78" s="253">
        <f t="shared" si="22"/>
        <v>100</v>
      </c>
    </row>
    <row r="79" spans="1:9" ht="14.1" customHeight="1" x14ac:dyDescent="0.2">
      <c r="A79" s="138"/>
      <c r="B79" s="139"/>
      <c r="C79" s="123" t="s">
        <v>248</v>
      </c>
      <c r="D79" s="272"/>
      <c r="E79" s="140">
        <v>229</v>
      </c>
      <c r="F79" s="74">
        <v>229</v>
      </c>
      <c r="G79" s="140">
        <v>229</v>
      </c>
      <c r="H79" s="252">
        <f t="shared" si="21"/>
        <v>100</v>
      </c>
      <c r="I79" s="253">
        <f t="shared" si="22"/>
        <v>100</v>
      </c>
    </row>
    <row r="80" spans="1:9" ht="14.1" customHeight="1" x14ac:dyDescent="0.2">
      <c r="A80" s="133"/>
      <c r="B80" s="134" t="s">
        <v>77</v>
      </c>
      <c r="C80" s="135" t="s">
        <v>78</v>
      </c>
      <c r="D80" s="270" t="s">
        <v>74</v>
      </c>
      <c r="E80" s="136">
        <v>3646</v>
      </c>
      <c r="F80" s="137">
        <f>3651.5+1048+979.4</f>
        <v>5678.9</v>
      </c>
      <c r="G80" s="136">
        <v>5679</v>
      </c>
      <c r="H80" s="248">
        <f>(G80/E80)*100</f>
        <v>155.75973669775095</v>
      </c>
      <c r="I80" s="249">
        <f>G80/F80*100</f>
        <v>100.00176090440051</v>
      </c>
    </row>
    <row r="81" spans="1:9" ht="14.1" customHeight="1" x14ac:dyDescent="0.2">
      <c r="A81" s="138"/>
      <c r="B81" s="139"/>
      <c r="C81" s="49" t="s">
        <v>246</v>
      </c>
      <c r="D81" s="272"/>
      <c r="E81" s="140">
        <v>2106</v>
      </c>
      <c r="F81" s="74">
        <v>2106</v>
      </c>
      <c r="G81" s="140">
        <v>2106</v>
      </c>
      <c r="H81" s="252">
        <f t="shared" ref="H81:H82" si="23">(G81/E81)*100</f>
        <v>100</v>
      </c>
      <c r="I81" s="253">
        <f t="shared" ref="I81:I82" si="24">(G81/F81)*100</f>
        <v>100</v>
      </c>
    </row>
    <row r="82" spans="1:9" ht="14.1" customHeight="1" x14ac:dyDescent="0.2">
      <c r="A82" s="138"/>
      <c r="B82" s="139"/>
      <c r="C82" s="123" t="s">
        <v>248</v>
      </c>
      <c r="D82" s="272"/>
      <c r="E82" s="140">
        <v>196</v>
      </c>
      <c r="F82" s="74">
        <v>196</v>
      </c>
      <c r="G82" s="140">
        <v>196</v>
      </c>
      <c r="H82" s="252">
        <f t="shared" si="23"/>
        <v>100</v>
      </c>
      <c r="I82" s="253">
        <f t="shared" si="24"/>
        <v>100</v>
      </c>
    </row>
    <row r="83" spans="1:9" ht="14.1" customHeight="1" x14ac:dyDescent="0.2">
      <c r="A83" s="133"/>
      <c r="B83" s="134" t="s">
        <v>79</v>
      </c>
      <c r="C83" s="135" t="s">
        <v>80</v>
      </c>
      <c r="D83" s="270" t="s">
        <v>74</v>
      </c>
      <c r="E83" s="136">
        <v>3803</v>
      </c>
      <c r="F83" s="137">
        <f>4008.5+797.9</f>
        <v>4806.3999999999996</v>
      </c>
      <c r="G83" s="136">
        <v>4806</v>
      </c>
      <c r="H83" s="248">
        <f>(G83/E83)*100</f>
        <v>126.37391533000265</v>
      </c>
      <c r="I83" s="249">
        <f>G83/F83*100</f>
        <v>99.991677762982704</v>
      </c>
    </row>
    <row r="84" spans="1:9" ht="14.1" customHeight="1" x14ac:dyDescent="0.2">
      <c r="A84" s="138"/>
      <c r="B84" s="139"/>
      <c r="C84" s="49" t="s">
        <v>246</v>
      </c>
      <c r="D84" s="272"/>
      <c r="E84" s="140">
        <v>2389</v>
      </c>
      <c r="F84" s="74">
        <v>2389</v>
      </c>
      <c r="G84" s="140">
        <v>2389</v>
      </c>
      <c r="H84" s="252">
        <f t="shared" ref="H84:H85" si="25">(G84/E84)*100</f>
        <v>100</v>
      </c>
      <c r="I84" s="253">
        <f t="shared" si="15"/>
        <v>100</v>
      </c>
    </row>
    <row r="85" spans="1:9" ht="14.1" customHeight="1" x14ac:dyDescent="0.2">
      <c r="A85" s="138"/>
      <c r="B85" s="139"/>
      <c r="C85" s="123" t="s">
        <v>248</v>
      </c>
      <c r="D85" s="272"/>
      <c r="E85" s="140">
        <v>450</v>
      </c>
      <c r="F85" s="74">
        <v>450</v>
      </c>
      <c r="G85" s="140">
        <v>450</v>
      </c>
      <c r="H85" s="252">
        <f t="shared" si="25"/>
        <v>100</v>
      </c>
      <c r="I85" s="253">
        <f t="shared" si="15"/>
        <v>100</v>
      </c>
    </row>
    <row r="86" spans="1:9" ht="14.1" customHeight="1" x14ac:dyDescent="0.2">
      <c r="A86" s="133"/>
      <c r="B86" s="134" t="s">
        <v>81</v>
      </c>
      <c r="C86" s="135" t="s">
        <v>82</v>
      </c>
      <c r="D86" s="270" t="s">
        <v>74</v>
      </c>
      <c r="E86" s="136">
        <v>7279</v>
      </c>
      <c r="F86" s="137">
        <f>7284.5+2600.8+1339.2</f>
        <v>11224.5</v>
      </c>
      <c r="G86" s="136">
        <v>11224</v>
      </c>
      <c r="H86" s="248">
        <f>(G86/E86)*100</f>
        <v>154.19700508311581</v>
      </c>
      <c r="I86" s="249">
        <f>G86/F86*100</f>
        <v>99.995545458595032</v>
      </c>
    </row>
    <row r="87" spans="1:9" ht="14.1" customHeight="1" x14ac:dyDescent="0.2">
      <c r="A87" s="138"/>
      <c r="B87" s="139"/>
      <c r="C87" s="49" t="s">
        <v>246</v>
      </c>
      <c r="D87" s="272"/>
      <c r="E87" s="140">
        <v>3003</v>
      </c>
      <c r="F87" s="74">
        <v>3003</v>
      </c>
      <c r="G87" s="140">
        <v>3003</v>
      </c>
      <c r="H87" s="252">
        <f t="shared" ref="H87:H90" si="26">(G87/E87)*100</f>
        <v>100</v>
      </c>
      <c r="I87" s="253">
        <f t="shared" ref="I87:I90" si="27">(G87/F87)*100</f>
        <v>100</v>
      </c>
    </row>
    <row r="88" spans="1:9" ht="14.1" customHeight="1" x14ac:dyDescent="0.2">
      <c r="A88" s="138"/>
      <c r="B88" s="139"/>
      <c r="C88" s="123" t="s">
        <v>297</v>
      </c>
      <c r="D88" s="272"/>
      <c r="E88" s="140">
        <v>400</v>
      </c>
      <c r="F88" s="74">
        <v>400</v>
      </c>
      <c r="G88" s="140">
        <v>400</v>
      </c>
      <c r="H88" s="252">
        <f t="shared" si="26"/>
        <v>100</v>
      </c>
      <c r="I88" s="253">
        <f t="shared" si="27"/>
        <v>100</v>
      </c>
    </row>
    <row r="89" spans="1:9" ht="14.1" customHeight="1" x14ac:dyDescent="0.2">
      <c r="A89" s="141"/>
      <c r="B89" s="142"/>
      <c r="C89" s="123" t="s">
        <v>248</v>
      </c>
      <c r="D89" s="271"/>
      <c r="E89" s="140">
        <v>929</v>
      </c>
      <c r="F89" s="74">
        <v>929</v>
      </c>
      <c r="G89" s="140">
        <v>929</v>
      </c>
      <c r="H89" s="252">
        <f t="shared" si="26"/>
        <v>100</v>
      </c>
      <c r="I89" s="253">
        <f t="shared" si="27"/>
        <v>100</v>
      </c>
    </row>
    <row r="90" spans="1:9" ht="14.1" customHeight="1" x14ac:dyDescent="0.2">
      <c r="A90" s="141"/>
      <c r="B90" s="142"/>
      <c r="C90" s="123" t="s">
        <v>265</v>
      </c>
      <c r="D90" s="271"/>
      <c r="E90" s="140">
        <v>600</v>
      </c>
      <c r="F90" s="74">
        <v>600</v>
      </c>
      <c r="G90" s="140">
        <v>600</v>
      </c>
      <c r="H90" s="252">
        <f t="shared" si="26"/>
        <v>100</v>
      </c>
      <c r="I90" s="253">
        <f t="shared" si="27"/>
        <v>100</v>
      </c>
    </row>
    <row r="91" spans="1:9" ht="14.1" customHeight="1" x14ac:dyDescent="0.2">
      <c r="A91" s="133"/>
      <c r="B91" s="134" t="s">
        <v>83</v>
      </c>
      <c r="C91" s="135" t="s">
        <v>84</v>
      </c>
      <c r="D91" s="270" t="s">
        <v>74</v>
      </c>
      <c r="E91" s="143">
        <v>3192</v>
      </c>
      <c r="F91" s="144">
        <f>3257.5+618.6+571.1</f>
        <v>4447.2</v>
      </c>
      <c r="G91" s="143">
        <v>4447</v>
      </c>
      <c r="H91" s="248">
        <f>(G91/E91)*100</f>
        <v>139.31704260651628</v>
      </c>
      <c r="I91" s="249">
        <f>G91/F91*100</f>
        <v>99.995502788271267</v>
      </c>
    </row>
    <row r="92" spans="1:9" ht="14.1" customHeight="1" x14ac:dyDescent="0.2">
      <c r="A92" s="138"/>
      <c r="B92" s="139"/>
      <c r="C92" s="49" t="s">
        <v>246</v>
      </c>
      <c r="D92" s="272"/>
      <c r="E92" s="140">
        <v>1753</v>
      </c>
      <c r="F92" s="74">
        <v>1753</v>
      </c>
      <c r="G92" s="140">
        <v>1753</v>
      </c>
      <c r="H92" s="252">
        <f t="shared" ref="H92:H93" si="28">(G92/E92)*100</f>
        <v>100</v>
      </c>
      <c r="I92" s="253">
        <f t="shared" si="15"/>
        <v>100</v>
      </c>
    </row>
    <row r="93" spans="1:9" ht="14.1" customHeight="1" x14ac:dyDescent="0.2">
      <c r="A93" s="138"/>
      <c r="B93" s="139"/>
      <c r="C93" s="123" t="s">
        <v>248</v>
      </c>
      <c r="D93" s="272"/>
      <c r="E93" s="140">
        <v>795</v>
      </c>
      <c r="F93" s="74">
        <v>795</v>
      </c>
      <c r="G93" s="140">
        <v>795</v>
      </c>
      <c r="H93" s="252">
        <f t="shared" si="28"/>
        <v>100</v>
      </c>
      <c r="I93" s="253">
        <f t="shared" si="15"/>
        <v>100</v>
      </c>
    </row>
    <row r="94" spans="1:9" ht="14.1" customHeight="1" x14ac:dyDescent="0.2">
      <c r="A94" s="133"/>
      <c r="B94" s="134" t="s">
        <v>85</v>
      </c>
      <c r="C94" s="135" t="s">
        <v>212</v>
      </c>
      <c r="D94" s="270" t="s">
        <v>74</v>
      </c>
      <c r="E94" s="136">
        <v>6401</v>
      </c>
      <c r="F94" s="137">
        <f>6906.5+1319+1370</f>
        <v>9595.5</v>
      </c>
      <c r="G94" s="136">
        <v>9595</v>
      </c>
      <c r="H94" s="248">
        <f>(G94/E94)*100</f>
        <v>149.89845336666144</v>
      </c>
      <c r="I94" s="249">
        <f>G94/F94*100</f>
        <v>99.994789224115465</v>
      </c>
    </row>
    <row r="95" spans="1:9" ht="14.1" customHeight="1" x14ac:dyDescent="0.2">
      <c r="A95" s="138"/>
      <c r="B95" s="139"/>
      <c r="C95" s="49" t="s">
        <v>246</v>
      </c>
      <c r="D95" s="272"/>
      <c r="E95" s="140">
        <v>3001</v>
      </c>
      <c r="F95" s="74">
        <v>3001</v>
      </c>
      <c r="G95" s="140">
        <v>3001</v>
      </c>
      <c r="H95" s="252">
        <f t="shared" ref="H95:H97" si="29">(G95/E95)*100</f>
        <v>100</v>
      </c>
      <c r="I95" s="253">
        <f t="shared" ref="I95:I97" si="30">(G95/F95)*100</f>
        <v>100</v>
      </c>
    </row>
    <row r="96" spans="1:9" ht="14.1" customHeight="1" x14ac:dyDescent="0.2">
      <c r="A96" s="145"/>
      <c r="B96" s="146"/>
      <c r="C96" s="147" t="s">
        <v>298</v>
      </c>
      <c r="D96" s="273"/>
      <c r="E96" s="148">
        <v>183</v>
      </c>
      <c r="F96" s="75">
        <v>183</v>
      </c>
      <c r="G96" s="148">
        <v>183</v>
      </c>
      <c r="H96" s="252">
        <f t="shared" si="29"/>
        <v>100</v>
      </c>
      <c r="I96" s="253">
        <f t="shared" si="30"/>
        <v>100</v>
      </c>
    </row>
    <row r="97" spans="1:9" ht="14.1" customHeight="1" thickBot="1" x14ac:dyDescent="0.25">
      <c r="A97" s="149"/>
      <c r="B97" s="150"/>
      <c r="C97" s="128" t="s">
        <v>248</v>
      </c>
      <c r="D97" s="274"/>
      <c r="E97" s="151">
        <v>1560</v>
      </c>
      <c r="F97" s="151">
        <v>1560</v>
      </c>
      <c r="G97" s="151">
        <v>1560</v>
      </c>
      <c r="H97" s="259">
        <f t="shared" si="29"/>
        <v>100</v>
      </c>
      <c r="I97" s="260">
        <f t="shared" si="30"/>
        <v>100</v>
      </c>
    </row>
    <row r="98" spans="1:9" ht="14.1" customHeight="1" x14ac:dyDescent="0.2">
      <c r="A98" s="152"/>
      <c r="B98" s="153"/>
      <c r="C98" s="154"/>
      <c r="D98" s="275"/>
      <c r="E98" s="155"/>
      <c r="F98" s="155"/>
      <c r="G98" s="155"/>
      <c r="H98" s="155"/>
      <c r="I98" s="276"/>
    </row>
    <row r="99" spans="1:9" ht="14.1" customHeight="1" thickBot="1" x14ac:dyDescent="0.25">
      <c r="A99" s="152"/>
      <c r="B99" s="153"/>
      <c r="C99" s="154"/>
      <c r="D99" s="275"/>
      <c r="E99" s="155"/>
      <c r="F99" s="155"/>
      <c r="G99" s="155"/>
      <c r="H99" s="155"/>
      <c r="I99" s="219" t="s">
        <v>601</v>
      </c>
    </row>
    <row r="100" spans="1:9" ht="12.95" customHeight="1" x14ac:dyDescent="0.2">
      <c r="A100" s="103" t="s">
        <v>1</v>
      </c>
      <c r="B100" s="104" t="s">
        <v>2</v>
      </c>
      <c r="C100" s="105" t="s">
        <v>3</v>
      </c>
      <c r="D100" s="239"/>
      <c r="E100" s="3" t="s">
        <v>4</v>
      </c>
      <c r="F100" s="3" t="s">
        <v>372</v>
      </c>
      <c r="G100" s="37" t="s">
        <v>306</v>
      </c>
      <c r="H100" s="51" t="s">
        <v>373</v>
      </c>
      <c r="I100" s="76" t="s">
        <v>373</v>
      </c>
    </row>
    <row r="101" spans="1:9" ht="12.95" customHeight="1" x14ac:dyDescent="0.2">
      <c r="A101" s="107" t="s">
        <v>5</v>
      </c>
      <c r="B101" s="108" t="s">
        <v>6</v>
      </c>
      <c r="C101" s="109" t="s">
        <v>7</v>
      </c>
      <c r="D101" s="110" t="s">
        <v>8</v>
      </c>
      <c r="E101" s="4" t="s">
        <v>242</v>
      </c>
      <c r="F101" s="4" t="s">
        <v>374</v>
      </c>
      <c r="G101" s="38" t="s">
        <v>307</v>
      </c>
      <c r="H101" s="52" t="s">
        <v>375</v>
      </c>
      <c r="I101" s="77" t="s">
        <v>376</v>
      </c>
    </row>
    <row r="102" spans="1:9" ht="12.95" customHeight="1" thickBot="1" x14ac:dyDescent="0.25">
      <c r="A102" s="112" t="s">
        <v>9</v>
      </c>
      <c r="B102" s="131" t="s">
        <v>10</v>
      </c>
      <c r="C102" s="114"/>
      <c r="D102" s="115"/>
      <c r="E102" s="5" t="s">
        <v>293</v>
      </c>
      <c r="F102" s="338">
        <v>44561</v>
      </c>
      <c r="G102" s="338">
        <v>44561</v>
      </c>
      <c r="H102" s="53" t="s">
        <v>220</v>
      </c>
      <c r="I102" s="78" t="s">
        <v>220</v>
      </c>
    </row>
    <row r="103" spans="1:9" ht="14.1" customHeight="1" x14ac:dyDescent="0.2">
      <c r="A103" s="387"/>
      <c r="B103" s="388" t="s">
        <v>86</v>
      </c>
      <c r="C103" s="389" t="s">
        <v>87</v>
      </c>
      <c r="D103" s="390" t="s">
        <v>74</v>
      </c>
      <c r="E103" s="391">
        <v>4316</v>
      </c>
      <c r="F103" s="392">
        <f>4400.2+1161.8+1171.7</f>
        <v>6733.7</v>
      </c>
      <c r="G103" s="391">
        <v>6734</v>
      </c>
      <c r="H103" s="393">
        <f>(G103/E103)*100</f>
        <v>156.02409638554218</v>
      </c>
      <c r="I103" s="277">
        <f>G103/F103*100</f>
        <v>100.00445520293451</v>
      </c>
    </row>
    <row r="104" spans="1:9" ht="14.25" customHeight="1" x14ac:dyDescent="0.2">
      <c r="A104" s="138"/>
      <c r="B104" s="139"/>
      <c r="C104" s="49" t="s">
        <v>246</v>
      </c>
      <c r="D104" s="272"/>
      <c r="E104" s="140">
        <v>2322</v>
      </c>
      <c r="F104" s="74">
        <v>2322</v>
      </c>
      <c r="G104" s="140">
        <v>2322</v>
      </c>
      <c r="H104" s="252">
        <f t="shared" ref="H104:H105" si="31">(G104/E104)*100</f>
        <v>100</v>
      </c>
      <c r="I104" s="253">
        <f>(G104/F104)*100</f>
        <v>100</v>
      </c>
    </row>
    <row r="105" spans="1:9" ht="14.1" customHeight="1" x14ac:dyDescent="0.2">
      <c r="A105" s="138"/>
      <c r="B105" s="139"/>
      <c r="C105" s="123" t="s">
        <v>248</v>
      </c>
      <c r="D105" s="272"/>
      <c r="E105" s="140">
        <v>316</v>
      </c>
      <c r="F105" s="74">
        <v>316</v>
      </c>
      <c r="G105" s="140">
        <v>316</v>
      </c>
      <c r="H105" s="252">
        <f t="shared" si="31"/>
        <v>100</v>
      </c>
      <c r="I105" s="253">
        <f t="shared" ref="I105" si="32">(G105/F105)*100</f>
        <v>100</v>
      </c>
    </row>
    <row r="106" spans="1:9" ht="14.1" customHeight="1" x14ac:dyDescent="0.2">
      <c r="A106" s="133"/>
      <c r="B106" s="134" t="s">
        <v>88</v>
      </c>
      <c r="C106" s="135" t="s">
        <v>89</v>
      </c>
      <c r="D106" s="270" t="s">
        <v>74</v>
      </c>
      <c r="E106" s="136">
        <v>5738</v>
      </c>
      <c r="F106" s="137">
        <f>6543.5+1108+772.9</f>
        <v>8424.4</v>
      </c>
      <c r="G106" s="136">
        <v>8424</v>
      </c>
      <c r="H106" s="248">
        <f>(G106/E106)*100</f>
        <v>146.81073544789126</v>
      </c>
      <c r="I106" s="249">
        <f>G106/F106*100</f>
        <v>99.995251887374764</v>
      </c>
    </row>
    <row r="107" spans="1:9" ht="14.1" customHeight="1" x14ac:dyDescent="0.2">
      <c r="A107" s="138"/>
      <c r="B107" s="139"/>
      <c r="C107" s="49" t="s">
        <v>246</v>
      </c>
      <c r="D107" s="272"/>
      <c r="E107" s="140">
        <v>2764</v>
      </c>
      <c r="F107" s="74">
        <v>2764</v>
      </c>
      <c r="G107" s="140">
        <v>2764</v>
      </c>
      <c r="H107" s="252">
        <f t="shared" ref="H107:H108" si="33">(G107/E107)*100</f>
        <v>100</v>
      </c>
      <c r="I107" s="253">
        <f t="shared" ref="I107:I108" si="34">(G107/F107)*100</f>
        <v>100</v>
      </c>
    </row>
    <row r="108" spans="1:9" ht="14.1" customHeight="1" x14ac:dyDescent="0.2">
      <c r="A108" s="138"/>
      <c r="B108" s="139"/>
      <c r="C108" s="123" t="s">
        <v>248</v>
      </c>
      <c r="D108" s="272"/>
      <c r="E108" s="140">
        <v>1689</v>
      </c>
      <c r="F108" s="74">
        <v>1689</v>
      </c>
      <c r="G108" s="140">
        <v>1689</v>
      </c>
      <c r="H108" s="252">
        <f t="shared" si="33"/>
        <v>100</v>
      </c>
      <c r="I108" s="253">
        <f t="shared" si="34"/>
        <v>100</v>
      </c>
    </row>
    <row r="109" spans="1:9" ht="14.1" customHeight="1" x14ac:dyDescent="0.2">
      <c r="A109" s="133"/>
      <c r="B109" s="134" t="s">
        <v>90</v>
      </c>
      <c r="C109" s="135" t="s">
        <v>91</v>
      </c>
      <c r="D109" s="270" t="s">
        <v>74</v>
      </c>
      <c r="E109" s="136">
        <v>4038</v>
      </c>
      <c r="F109" s="137">
        <f>4254.7+948.2+841.7+1641.4</f>
        <v>7686</v>
      </c>
      <c r="G109" s="136">
        <v>7686</v>
      </c>
      <c r="H109" s="248">
        <f>(G109/E109)*100</f>
        <v>190.34175334323922</v>
      </c>
      <c r="I109" s="249">
        <f>G109/F109*100</f>
        <v>100</v>
      </c>
    </row>
    <row r="110" spans="1:9" ht="14.1" customHeight="1" x14ac:dyDescent="0.2">
      <c r="A110" s="138"/>
      <c r="B110" s="139"/>
      <c r="C110" s="49" t="s">
        <v>246</v>
      </c>
      <c r="D110" s="272"/>
      <c r="E110" s="140">
        <v>2436</v>
      </c>
      <c r="F110" s="74">
        <v>2436</v>
      </c>
      <c r="G110" s="140">
        <v>2436</v>
      </c>
      <c r="H110" s="252">
        <f t="shared" ref="H110:H111" si="35">(G110/E110)*100</f>
        <v>100</v>
      </c>
      <c r="I110" s="253">
        <f t="shared" ref="I110:I111" si="36">(G110/F110)*100</f>
        <v>100</v>
      </c>
    </row>
    <row r="111" spans="1:9" ht="14.1" customHeight="1" x14ac:dyDescent="0.2">
      <c r="A111" s="138"/>
      <c r="B111" s="139"/>
      <c r="C111" s="123" t="s">
        <v>248</v>
      </c>
      <c r="D111" s="272"/>
      <c r="E111" s="140">
        <v>493</v>
      </c>
      <c r="F111" s="74">
        <v>493</v>
      </c>
      <c r="G111" s="140">
        <v>493</v>
      </c>
      <c r="H111" s="252">
        <f t="shared" si="35"/>
        <v>100</v>
      </c>
      <c r="I111" s="253">
        <f t="shared" si="36"/>
        <v>100</v>
      </c>
    </row>
    <row r="112" spans="1:9" ht="14.1" customHeight="1" x14ac:dyDescent="0.2">
      <c r="A112" s="133"/>
      <c r="B112" s="134" t="s">
        <v>92</v>
      </c>
      <c r="C112" s="135" t="s">
        <v>93</v>
      </c>
      <c r="D112" s="270" t="s">
        <v>74</v>
      </c>
      <c r="E112" s="136">
        <v>6445</v>
      </c>
      <c r="F112" s="137">
        <f>7128.1+1363.9+1327.6</f>
        <v>9819.6</v>
      </c>
      <c r="G112" s="136">
        <v>9820</v>
      </c>
      <c r="H112" s="248">
        <f>(G112/E112)*100</f>
        <v>152.36617532971295</v>
      </c>
      <c r="I112" s="249">
        <f>G112/F112*100</f>
        <v>100.0040734856817</v>
      </c>
    </row>
    <row r="113" spans="1:11" ht="14.1" customHeight="1" x14ac:dyDescent="0.2">
      <c r="A113" s="138"/>
      <c r="B113" s="139"/>
      <c r="C113" s="49" t="s">
        <v>246</v>
      </c>
      <c r="D113" s="272"/>
      <c r="E113" s="140">
        <v>3239</v>
      </c>
      <c r="F113" s="74">
        <v>3239</v>
      </c>
      <c r="G113" s="140">
        <v>3239</v>
      </c>
      <c r="H113" s="252">
        <f t="shared" ref="H113:H115" si="37">(G113/E113)*100</f>
        <v>100</v>
      </c>
      <c r="I113" s="253">
        <f t="shared" ref="I113:I115" si="38">(G113/F113)*100</f>
        <v>100</v>
      </c>
    </row>
    <row r="114" spans="1:11" ht="14.1" customHeight="1" x14ac:dyDescent="0.2">
      <c r="A114" s="138"/>
      <c r="B114" s="139"/>
      <c r="C114" s="123" t="s">
        <v>235</v>
      </c>
      <c r="D114" s="272"/>
      <c r="E114" s="140">
        <v>300</v>
      </c>
      <c r="F114" s="74">
        <v>300</v>
      </c>
      <c r="G114" s="140">
        <v>300</v>
      </c>
      <c r="H114" s="252">
        <f t="shared" si="37"/>
        <v>100</v>
      </c>
      <c r="I114" s="253">
        <f>(G114/F114)*100</f>
        <v>100</v>
      </c>
    </row>
    <row r="115" spans="1:11" ht="14.1" customHeight="1" x14ac:dyDescent="0.2">
      <c r="A115" s="138"/>
      <c r="B115" s="139"/>
      <c r="C115" s="123" t="s">
        <v>249</v>
      </c>
      <c r="D115" s="272"/>
      <c r="E115" s="140">
        <v>957</v>
      </c>
      <c r="F115" s="74">
        <v>957</v>
      </c>
      <c r="G115" s="140">
        <v>957</v>
      </c>
      <c r="H115" s="252">
        <f t="shared" si="37"/>
        <v>100</v>
      </c>
      <c r="I115" s="253">
        <f t="shared" si="38"/>
        <v>100</v>
      </c>
    </row>
    <row r="116" spans="1:11" ht="14.1" customHeight="1" x14ac:dyDescent="0.2">
      <c r="A116" s="133"/>
      <c r="B116" s="134" t="s">
        <v>94</v>
      </c>
      <c r="C116" s="135" t="s">
        <v>95</v>
      </c>
      <c r="D116" s="270" t="s">
        <v>74</v>
      </c>
      <c r="E116" s="136">
        <v>5943</v>
      </c>
      <c r="F116" s="137">
        <f>6448.5+998.6+964.6</f>
        <v>8411.7000000000007</v>
      </c>
      <c r="G116" s="136">
        <v>8412</v>
      </c>
      <c r="H116" s="248">
        <f>(G116/E116)*100</f>
        <v>141.54467440686523</v>
      </c>
      <c r="I116" s="249">
        <f>G116/F116*100</f>
        <v>100.00356646100074</v>
      </c>
    </row>
    <row r="117" spans="1:11" ht="14.1" customHeight="1" x14ac:dyDescent="0.2">
      <c r="A117" s="138"/>
      <c r="B117" s="139"/>
      <c r="C117" s="49" t="s">
        <v>246</v>
      </c>
      <c r="D117" s="272"/>
      <c r="E117" s="140">
        <v>1790</v>
      </c>
      <c r="F117" s="74">
        <v>1790</v>
      </c>
      <c r="G117" s="140">
        <v>1790</v>
      </c>
      <c r="H117" s="252">
        <f t="shared" ref="H117:H118" si="39">(G117/E117)*100</f>
        <v>100</v>
      </c>
      <c r="I117" s="253">
        <f t="shared" ref="I117:I118" si="40">(G117/F117)*100</f>
        <v>100</v>
      </c>
    </row>
    <row r="118" spans="1:11" ht="14.1" customHeight="1" x14ac:dyDescent="0.2">
      <c r="A118" s="138"/>
      <c r="B118" s="139"/>
      <c r="C118" s="123" t="s">
        <v>248</v>
      </c>
      <c r="D118" s="272"/>
      <c r="E118" s="140">
        <v>2835</v>
      </c>
      <c r="F118" s="74">
        <v>2835</v>
      </c>
      <c r="G118" s="140">
        <v>2835</v>
      </c>
      <c r="H118" s="252">
        <f t="shared" si="39"/>
        <v>100</v>
      </c>
      <c r="I118" s="253">
        <f t="shared" si="40"/>
        <v>100</v>
      </c>
    </row>
    <row r="119" spans="1:11" ht="14.1" customHeight="1" x14ac:dyDescent="0.2">
      <c r="A119" s="133"/>
      <c r="B119" s="134" t="s">
        <v>96</v>
      </c>
      <c r="C119" s="135" t="s">
        <v>97</v>
      </c>
      <c r="D119" s="270" t="s">
        <v>74</v>
      </c>
      <c r="E119" s="136">
        <v>8492</v>
      </c>
      <c r="F119" s="137">
        <f>9016.7+1337.8+1403.7</f>
        <v>11758.2</v>
      </c>
      <c r="G119" s="136">
        <v>11758</v>
      </c>
      <c r="H119" s="248">
        <f>(G119/E119)*100</f>
        <v>138.45972680169572</v>
      </c>
      <c r="I119" s="249">
        <f>G119/F119*100</f>
        <v>99.998299059379832</v>
      </c>
    </row>
    <row r="120" spans="1:11" ht="14.1" customHeight="1" x14ac:dyDescent="0.2">
      <c r="A120" s="138"/>
      <c r="B120" s="139"/>
      <c r="C120" s="49" t="s">
        <v>246</v>
      </c>
      <c r="D120" s="272"/>
      <c r="E120" s="140">
        <v>4081</v>
      </c>
      <c r="F120" s="74">
        <v>4081</v>
      </c>
      <c r="G120" s="140">
        <v>4081</v>
      </c>
      <c r="H120" s="252">
        <f t="shared" ref="H120:H121" si="41">(G120/E120)*100</f>
        <v>100</v>
      </c>
      <c r="I120" s="253">
        <f t="shared" ref="I120:I121" si="42">(G120/F120)*100</f>
        <v>100</v>
      </c>
    </row>
    <row r="121" spans="1:11" ht="14.1" customHeight="1" x14ac:dyDescent="0.2">
      <c r="A121" s="138"/>
      <c r="B121" s="139"/>
      <c r="C121" s="123" t="s">
        <v>248</v>
      </c>
      <c r="D121" s="272"/>
      <c r="E121" s="140">
        <v>2637</v>
      </c>
      <c r="F121" s="74">
        <v>2637</v>
      </c>
      <c r="G121" s="140">
        <v>2637</v>
      </c>
      <c r="H121" s="252">
        <f t="shared" si="41"/>
        <v>100</v>
      </c>
      <c r="I121" s="253">
        <f t="shared" si="42"/>
        <v>100</v>
      </c>
    </row>
    <row r="122" spans="1:11" ht="14.1" customHeight="1" x14ac:dyDescent="0.2">
      <c r="A122" s="133"/>
      <c r="B122" s="134" t="s">
        <v>98</v>
      </c>
      <c r="C122" s="135" t="s">
        <v>99</v>
      </c>
      <c r="D122" s="270" t="s">
        <v>74</v>
      </c>
      <c r="E122" s="136">
        <v>6377</v>
      </c>
      <c r="F122" s="137">
        <f>6582.5+1559+20</f>
        <v>8161.5</v>
      </c>
      <c r="G122" s="136">
        <v>8161</v>
      </c>
      <c r="H122" s="248">
        <f>(G122/E122)*100</f>
        <v>127.97553708640426</v>
      </c>
      <c r="I122" s="249">
        <f>G122/F122*100</f>
        <v>99.993873675182257</v>
      </c>
    </row>
    <row r="123" spans="1:11" ht="14.1" customHeight="1" x14ac:dyDescent="0.2">
      <c r="A123" s="138"/>
      <c r="B123" s="139"/>
      <c r="C123" s="49" t="s">
        <v>246</v>
      </c>
      <c r="D123" s="272"/>
      <c r="E123" s="140">
        <v>3500</v>
      </c>
      <c r="F123" s="74">
        <v>3500</v>
      </c>
      <c r="G123" s="140">
        <v>3500</v>
      </c>
      <c r="H123" s="252">
        <f t="shared" ref="H123:H127" si="43">(G123/E123)*100</f>
        <v>100</v>
      </c>
      <c r="I123" s="253">
        <f>(G123/F123)*100</f>
        <v>100</v>
      </c>
    </row>
    <row r="124" spans="1:11" ht="14.1" customHeight="1" x14ac:dyDescent="0.2">
      <c r="A124" s="138"/>
      <c r="B124" s="139"/>
      <c r="C124" s="123" t="s">
        <v>248</v>
      </c>
      <c r="D124" s="272"/>
      <c r="E124" s="140">
        <v>667</v>
      </c>
      <c r="F124" s="74">
        <v>667</v>
      </c>
      <c r="G124" s="140">
        <v>667</v>
      </c>
      <c r="H124" s="252">
        <f t="shared" si="43"/>
        <v>100</v>
      </c>
      <c r="I124" s="253">
        <f t="shared" ref="I124" si="44">(G124/F124)*100</f>
        <v>100</v>
      </c>
    </row>
    <row r="125" spans="1:11" ht="14.1" customHeight="1" x14ac:dyDescent="0.2">
      <c r="A125" s="133"/>
      <c r="B125" s="134" t="s">
        <v>100</v>
      </c>
      <c r="C125" s="135" t="s">
        <v>101</v>
      </c>
      <c r="D125" s="270" t="s">
        <v>74</v>
      </c>
      <c r="E125" s="143">
        <v>6589</v>
      </c>
      <c r="F125" s="144">
        <f>6690.3+1442.8+1479.1+24.5</f>
        <v>9636.7000000000007</v>
      </c>
      <c r="G125" s="143">
        <v>9637</v>
      </c>
      <c r="H125" s="248">
        <f>(G125/E125)*100</f>
        <v>146.2589163757778</v>
      </c>
      <c r="I125" s="249">
        <f>G125/F125*100</f>
        <v>100.00311309888239</v>
      </c>
    </row>
    <row r="126" spans="1:11" ht="14.1" customHeight="1" x14ac:dyDescent="0.2">
      <c r="A126" s="138"/>
      <c r="B126" s="139"/>
      <c r="C126" s="49" t="s">
        <v>246</v>
      </c>
      <c r="D126" s="272"/>
      <c r="E126" s="140">
        <v>3736</v>
      </c>
      <c r="F126" s="74">
        <v>3736</v>
      </c>
      <c r="G126" s="140">
        <v>3736</v>
      </c>
      <c r="H126" s="252">
        <f t="shared" si="43"/>
        <v>100</v>
      </c>
      <c r="I126" s="253">
        <f>(G126/F126)*100</f>
        <v>100</v>
      </c>
    </row>
    <row r="127" spans="1:11" ht="14.1" customHeight="1" thickBot="1" x14ac:dyDescent="0.25">
      <c r="A127" s="149"/>
      <c r="B127" s="150"/>
      <c r="C127" s="128" t="s">
        <v>248</v>
      </c>
      <c r="D127" s="274"/>
      <c r="E127" s="151">
        <v>640</v>
      </c>
      <c r="F127" s="157">
        <v>640</v>
      </c>
      <c r="G127" s="151">
        <v>640</v>
      </c>
      <c r="H127" s="278">
        <f t="shared" si="43"/>
        <v>100</v>
      </c>
      <c r="I127" s="260">
        <f t="shared" ref="I127" si="45">(G127/F127)*100</f>
        <v>100</v>
      </c>
    </row>
    <row r="128" spans="1:11" s="230" customFormat="1" ht="14.1" customHeight="1" x14ac:dyDescent="0.2">
      <c r="A128" s="216"/>
      <c r="B128" s="217"/>
      <c r="C128" s="218"/>
      <c r="D128" s="279"/>
      <c r="E128" s="156"/>
      <c r="F128" s="156"/>
      <c r="G128" s="156"/>
      <c r="H128" s="156"/>
      <c r="I128" s="264"/>
      <c r="K128" s="846"/>
    </row>
    <row r="129" spans="1:11" s="230" customFormat="1" ht="12.95" customHeight="1" x14ac:dyDescent="0.2">
      <c r="A129" s="216"/>
      <c r="B129" s="217"/>
      <c r="C129" s="218"/>
      <c r="D129" s="279"/>
      <c r="E129" s="156"/>
      <c r="F129" s="156"/>
      <c r="G129" s="156"/>
      <c r="H129" s="156"/>
      <c r="I129" s="264"/>
      <c r="K129" s="846"/>
    </row>
    <row r="130" spans="1:11" s="230" customFormat="1" ht="12.95" customHeight="1" x14ac:dyDescent="0.2">
      <c r="A130" s="216"/>
      <c r="B130" s="217"/>
      <c r="C130" s="218"/>
      <c r="D130" s="279"/>
      <c r="E130" s="156"/>
      <c r="F130" s="156"/>
      <c r="G130" s="156"/>
      <c r="H130" s="156"/>
      <c r="I130" s="264"/>
      <c r="K130" s="846"/>
    </row>
    <row r="131" spans="1:11" s="230" customFormat="1" ht="12.95" customHeight="1" x14ac:dyDescent="0.2">
      <c r="A131" s="216"/>
      <c r="B131" s="217"/>
      <c r="C131" s="218"/>
      <c r="D131" s="279"/>
      <c r="E131" s="156"/>
      <c r="F131" s="156"/>
      <c r="G131" s="156"/>
      <c r="H131" s="156"/>
      <c r="I131" s="264"/>
      <c r="K131" s="846"/>
    </row>
    <row r="132" spans="1:11" s="230" customFormat="1" ht="12.95" customHeight="1" x14ac:dyDescent="0.2">
      <c r="A132" s="216"/>
      <c r="B132" s="217"/>
      <c r="C132" s="218"/>
      <c r="D132" s="279"/>
      <c r="E132" s="156"/>
      <c r="F132" s="156"/>
      <c r="G132" s="156"/>
      <c r="H132" s="156"/>
      <c r="I132" s="264"/>
      <c r="K132" s="846"/>
    </row>
    <row r="133" spans="1:11" s="230" customFormat="1" ht="12.95" customHeight="1" x14ac:dyDescent="0.2">
      <c r="A133" s="216"/>
      <c r="B133" s="217"/>
      <c r="C133" s="218"/>
      <c r="D133" s="279"/>
      <c r="E133" s="156"/>
      <c r="F133" s="156"/>
      <c r="G133" s="156"/>
      <c r="H133" s="156"/>
      <c r="I133" s="264"/>
      <c r="K133" s="846"/>
    </row>
    <row r="134" spans="1:11" s="230" customFormat="1" ht="12.95" customHeight="1" x14ac:dyDescent="0.2">
      <c r="A134" s="216"/>
      <c r="B134" s="217"/>
      <c r="C134" s="218"/>
      <c r="D134" s="279"/>
      <c r="E134" s="156"/>
      <c r="F134" s="156"/>
      <c r="G134" s="156"/>
      <c r="H134" s="156"/>
      <c r="I134" s="264"/>
      <c r="K134" s="846"/>
    </row>
    <row r="135" spans="1:11" s="230" customFormat="1" ht="12.95" customHeight="1" x14ac:dyDescent="0.2">
      <c r="A135" s="216"/>
      <c r="B135" s="217"/>
      <c r="C135" s="218"/>
      <c r="D135" s="279"/>
      <c r="E135" s="156"/>
      <c r="F135" s="156"/>
      <c r="G135" s="156"/>
      <c r="H135" s="156"/>
      <c r="I135" s="264"/>
      <c r="K135" s="846"/>
    </row>
    <row r="136" spans="1:11" s="230" customFormat="1" ht="12.95" customHeight="1" x14ac:dyDescent="0.2">
      <c r="A136" s="216"/>
      <c r="B136" s="217"/>
      <c r="C136" s="218"/>
      <c r="D136" s="279"/>
      <c r="E136" s="156"/>
      <c r="F136" s="156"/>
      <c r="G136" s="156"/>
      <c r="H136" s="156"/>
      <c r="I136" s="264"/>
      <c r="K136" s="846"/>
    </row>
    <row r="137" spans="1:11" s="230" customFormat="1" ht="12.95" customHeight="1" x14ac:dyDescent="0.2">
      <c r="A137" s="216"/>
      <c r="B137" s="217"/>
      <c r="C137" s="218"/>
      <c r="D137" s="279"/>
      <c r="E137" s="156"/>
      <c r="F137" s="156"/>
      <c r="G137" s="156"/>
      <c r="H137" s="156"/>
      <c r="I137" s="264"/>
      <c r="K137" s="846"/>
    </row>
    <row r="138" spans="1:11" s="230" customFormat="1" ht="12.95" customHeight="1" x14ac:dyDescent="0.2">
      <c r="A138" s="216"/>
      <c r="B138" s="217"/>
      <c r="C138" s="218"/>
      <c r="D138" s="279"/>
      <c r="E138" s="156"/>
      <c r="F138" s="156"/>
      <c r="G138" s="156"/>
      <c r="H138" s="156"/>
      <c r="I138" s="264"/>
      <c r="K138" s="846"/>
    </row>
    <row r="139" spans="1:11" s="230" customFormat="1" ht="12.95" customHeight="1" x14ac:dyDescent="0.2">
      <c r="A139" s="216"/>
      <c r="B139" s="217"/>
      <c r="C139" s="218"/>
      <c r="D139" s="279"/>
      <c r="E139" s="156"/>
      <c r="F139" s="156"/>
      <c r="G139" s="156"/>
      <c r="H139" s="156"/>
      <c r="I139" s="264"/>
      <c r="K139" s="846"/>
    </row>
    <row r="140" spans="1:11" s="230" customFormat="1" ht="12.95" customHeight="1" x14ac:dyDescent="0.2">
      <c r="A140" s="216"/>
      <c r="B140" s="217"/>
      <c r="C140" s="218"/>
      <c r="D140" s="279"/>
      <c r="E140" s="156"/>
      <c r="F140" s="156"/>
      <c r="G140" s="156"/>
      <c r="H140" s="156"/>
      <c r="I140" s="264"/>
      <c r="K140" s="846"/>
    </row>
    <row r="141" spans="1:11" s="230" customFormat="1" ht="12.95" customHeight="1" x14ac:dyDescent="0.2">
      <c r="A141" s="216"/>
      <c r="B141" s="217"/>
      <c r="C141" s="218"/>
      <c r="D141" s="279"/>
      <c r="E141" s="156"/>
      <c r="F141" s="156"/>
      <c r="G141" s="156"/>
      <c r="H141" s="156"/>
      <c r="I141" s="264"/>
      <c r="K141" s="846"/>
    </row>
    <row r="142" spans="1:11" s="230" customFormat="1" ht="12.95" customHeight="1" x14ac:dyDescent="0.2">
      <c r="A142" s="216"/>
      <c r="B142" s="217"/>
      <c r="C142" s="218"/>
      <c r="D142" s="279"/>
      <c r="E142" s="156"/>
      <c r="F142" s="156"/>
      <c r="G142" s="156"/>
      <c r="H142" s="156"/>
      <c r="I142" s="264"/>
      <c r="K142" s="846"/>
    </row>
    <row r="143" spans="1:11" s="230" customFormat="1" ht="12.95" customHeight="1" x14ac:dyDescent="0.2">
      <c r="A143" s="216"/>
      <c r="B143" s="217"/>
      <c r="C143" s="218"/>
      <c r="D143" s="279"/>
      <c r="E143" s="156"/>
      <c r="F143" s="156"/>
      <c r="G143" s="156"/>
      <c r="H143" s="156"/>
      <c r="I143" s="264"/>
      <c r="K143" s="846"/>
    </row>
    <row r="144" spans="1:11" s="230" customFormat="1" ht="12.95" customHeight="1" x14ac:dyDescent="0.2">
      <c r="A144" s="216"/>
      <c r="B144" s="217"/>
      <c r="C144" s="218"/>
      <c r="D144" s="279"/>
      <c r="E144" s="156"/>
      <c r="F144" s="156"/>
      <c r="G144" s="156"/>
      <c r="H144" s="156"/>
      <c r="I144" s="264"/>
      <c r="K144" s="846"/>
    </row>
    <row r="145" spans="1:11" s="230" customFormat="1" ht="12.95" customHeight="1" x14ac:dyDescent="0.2">
      <c r="A145" s="216"/>
      <c r="B145" s="217"/>
      <c r="C145" s="218"/>
      <c r="D145" s="279"/>
      <c r="E145" s="156"/>
      <c r="F145" s="156"/>
      <c r="G145" s="156"/>
      <c r="H145" s="156"/>
      <c r="I145" s="264"/>
      <c r="K145" s="846"/>
    </row>
    <row r="146" spans="1:11" s="230" customFormat="1" ht="12.95" customHeight="1" x14ac:dyDescent="0.2">
      <c r="A146" s="216"/>
      <c r="B146" s="217"/>
      <c r="C146" s="218"/>
      <c r="D146" s="279"/>
      <c r="E146" s="156"/>
      <c r="F146" s="156"/>
      <c r="G146" s="156"/>
      <c r="H146" s="156"/>
      <c r="I146" s="264"/>
      <c r="K146" s="846"/>
    </row>
    <row r="147" spans="1:11" s="230" customFormat="1" ht="12.95" customHeight="1" x14ac:dyDescent="0.2">
      <c r="A147" s="216"/>
      <c r="B147" s="217"/>
      <c r="C147" s="218"/>
      <c r="D147" s="279"/>
      <c r="E147" s="156"/>
      <c r="F147" s="156"/>
      <c r="G147" s="156"/>
      <c r="H147" s="156"/>
      <c r="I147" s="264"/>
      <c r="K147" s="846"/>
    </row>
    <row r="148" spans="1:11" s="230" customFormat="1" ht="12.95" customHeight="1" x14ac:dyDescent="0.2">
      <c r="A148" s="216"/>
      <c r="B148" s="217"/>
      <c r="C148" s="218"/>
      <c r="D148" s="279"/>
      <c r="E148" s="156"/>
      <c r="F148" s="156"/>
      <c r="G148" s="156"/>
      <c r="H148" s="156"/>
      <c r="I148" s="264"/>
      <c r="K148" s="846"/>
    </row>
    <row r="149" spans="1:11" s="230" customFormat="1" ht="14.25" customHeight="1" x14ac:dyDescent="0.2">
      <c r="A149" s="216"/>
      <c r="B149" s="217"/>
      <c r="C149" s="218"/>
      <c r="D149" s="279"/>
      <c r="E149" s="156"/>
      <c r="F149" s="156"/>
      <c r="G149" s="156"/>
      <c r="H149" s="156"/>
      <c r="I149" s="264"/>
      <c r="K149" s="846"/>
    </row>
    <row r="150" spans="1:11" s="230" customFormat="1" ht="12.95" customHeight="1" thickBot="1" x14ac:dyDescent="0.25">
      <c r="A150" s="216"/>
      <c r="B150" s="217"/>
      <c r="C150" s="218"/>
      <c r="D150" s="279"/>
      <c r="E150" s="156"/>
      <c r="F150" s="156"/>
      <c r="G150" s="156"/>
      <c r="H150" s="156"/>
      <c r="I150" s="220" t="s">
        <v>600</v>
      </c>
      <c r="K150" s="846"/>
    </row>
    <row r="151" spans="1:11" ht="12.75" customHeight="1" x14ac:dyDescent="0.2">
      <c r="A151" s="103" t="s">
        <v>1</v>
      </c>
      <c r="B151" s="104" t="s">
        <v>2</v>
      </c>
      <c r="C151" s="105" t="s">
        <v>3</v>
      </c>
      <c r="D151" s="239"/>
      <c r="E151" s="3" t="s">
        <v>4</v>
      </c>
      <c r="F151" s="3" t="s">
        <v>372</v>
      </c>
      <c r="G151" s="37" t="s">
        <v>306</v>
      </c>
      <c r="H151" s="51" t="s">
        <v>373</v>
      </c>
      <c r="I151" s="106" t="s">
        <v>373</v>
      </c>
    </row>
    <row r="152" spans="1:11" ht="12.75" customHeight="1" x14ac:dyDescent="0.2">
      <c r="A152" s="107" t="s">
        <v>5</v>
      </c>
      <c r="B152" s="108" t="s">
        <v>6</v>
      </c>
      <c r="C152" s="109" t="s">
        <v>7</v>
      </c>
      <c r="D152" s="110" t="s">
        <v>8</v>
      </c>
      <c r="E152" s="4" t="s">
        <v>242</v>
      </c>
      <c r="F152" s="4" t="s">
        <v>374</v>
      </c>
      <c r="G152" s="38" t="s">
        <v>307</v>
      </c>
      <c r="H152" s="52" t="s">
        <v>375</v>
      </c>
      <c r="I152" s="111" t="s">
        <v>376</v>
      </c>
    </row>
    <row r="153" spans="1:11" ht="15" customHeight="1" thickBot="1" x14ac:dyDescent="0.25">
      <c r="A153" s="112" t="s">
        <v>9</v>
      </c>
      <c r="B153" s="131" t="s">
        <v>10</v>
      </c>
      <c r="C153" s="114"/>
      <c r="D153" s="115"/>
      <c r="E153" s="5" t="s">
        <v>293</v>
      </c>
      <c r="F153" s="338">
        <f>Kap.01!F15</f>
        <v>44561</v>
      </c>
      <c r="G153" s="338">
        <f>F153</f>
        <v>44561</v>
      </c>
      <c r="H153" s="53" t="s">
        <v>220</v>
      </c>
      <c r="I153" s="116" t="s">
        <v>220</v>
      </c>
    </row>
    <row r="154" spans="1:11" ht="14.1" customHeight="1" x14ac:dyDescent="0.2">
      <c r="A154" s="31" t="s">
        <v>32</v>
      </c>
      <c r="B154" s="17"/>
      <c r="C154" s="18" t="s">
        <v>102</v>
      </c>
      <c r="D154" s="280" t="s">
        <v>74</v>
      </c>
      <c r="E154" s="885">
        <f>SUM(E155:E157)</f>
        <v>400</v>
      </c>
      <c r="F154" s="886">
        <f>SUM(F155:F157)</f>
        <v>277.5</v>
      </c>
      <c r="G154" s="885">
        <f>SUM(G155:G157)</f>
        <v>277</v>
      </c>
      <c r="H154" s="242">
        <f>(G154/E154)*100</f>
        <v>69.25</v>
      </c>
      <c r="I154" s="243">
        <f>(G154/F154)*100</f>
        <v>99.819819819819827</v>
      </c>
    </row>
    <row r="155" spans="1:11" ht="14.1" customHeight="1" x14ac:dyDescent="0.2">
      <c r="A155" s="158"/>
      <c r="B155" s="17"/>
      <c r="C155" s="411"/>
      <c r="D155" s="281" t="s">
        <v>102</v>
      </c>
      <c r="E155" s="887">
        <v>100</v>
      </c>
      <c r="F155" s="888">
        <v>60</v>
      </c>
      <c r="G155" s="887">
        <v>60</v>
      </c>
      <c r="H155" s="252">
        <f t="shared" ref="H155:H171" si="46">(G155/E155)*100</f>
        <v>60</v>
      </c>
      <c r="I155" s="253">
        <f>(G155/F155)*100</f>
        <v>100</v>
      </c>
    </row>
    <row r="156" spans="1:11" ht="14.1" customHeight="1" x14ac:dyDescent="0.2">
      <c r="A156" s="158"/>
      <c r="B156" s="17"/>
      <c r="C156" s="411"/>
      <c r="D156" s="281" t="s">
        <v>259</v>
      </c>
      <c r="E156" s="887">
        <v>100</v>
      </c>
      <c r="F156" s="888">
        <v>17.5</v>
      </c>
      <c r="G156" s="887">
        <v>17</v>
      </c>
      <c r="H156" s="252">
        <f t="shared" si="46"/>
        <v>17</v>
      </c>
      <c r="I156" s="253">
        <f>(G156/F156)*100</f>
        <v>97.142857142857139</v>
      </c>
    </row>
    <row r="157" spans="1:11" ht="14.1" customHeight="1" x14ac:dyDescent="0.2">
      <c r="A157" s="138"/>
      <c r="B157" s="19"/>
      <c r="C157" s="20"/>
      <c r="D157" s="281" t="s">
        <v>276</v>
      </c>
      <c r="E157" s="887">
        <v>200</v>
      </c>
      <c r="F157" s="888">
        <v>200</v>
      </c>
      <c r="G157" s="887">
        <v>200</v>
      </c>
      <c r="H157" s="252">
        <f t="shared" si="46"/>
        <v>100</v>
      </c>
      <c r="I157" s="253">
        <f>(G157/F157)*100</f>
        <v>100</v>
      </c>
    </row>
    <row r="158" spans="1:11" ht="14.1" customHeight="1" x14ac:dyDescent="0.2">
      <c r="A158" s="47"/>
      <c r="B158" s="59" t="s">
        <v>105</v>
      </c>
      <c r="C158" s="21" t="s">
        <v>213</v>
      </c>
      <c r="D158" s="22" t="s">
        <v>214</v>
      </c>
      <c r="E158" s="889"/>
      <c r="F158" s="890"/>
      <c r="G158" s="889"/>
      <c r="H158" s="1019">
        <f>(G159/E159)*100</f>
        <v>141.10909090909092</v>
      </c>
      <c r="I158" s="1017">
        <f>(G159/F159)*100</f>
        <v>99.999713668875231</v>
      </c>
    </row>
    <row r="159" spans="1:11" ht="14.1" customHeight="1" x14ac:dyDescent="0.2">
      <c r="A159" s="159"/>
      <c r="B159" s="23"/>
      <c r="C159" s="24" t="s">
        <v>215</v>
      </c>
      <c r="D159" s="24" t="s">
        <v>447</v>
      </c>
      <c r="E159" s="891">
        <v>49500</v>
      </c>
      <c r="F159" s="892">
        <v>69849.2</v>
      </c>
      <c r="G159" s="891">
        <v>69849</v>
      </c>
      <c r="H159" s="1019"/>
      <c r="I159" s="1018"/>
    </row>
    <row r="160" spans="1:11" ht="14.1" customHeight="1" x14ac:dyDescent="0.2">
      <c r="A160" s="31"/>
      <c r="B160" s="60"/>
      <c r="C160" s="61"/>
      <c r="D160" s="61"/>
      <c r="E160" s="893"/>
      <c r="F160" s="894"/>
      <c r="G160" s="893"/>
      <c r="H160" s="80"/>
      <c r="I160" s="283"/>
    </row>
    <row r="161" spans="1:19" ht="14.1" customHeight="1" x14ac:dyDescent="0.2">
      <c r="A161" s="31" t="s">
        <v>432</v>
      </c>
      <c r="B161" s="60" t="s">
        <v>433</v>
      </c>
      <c r="C161" s="61"/>
      <c r="D161" s="61"/>
      <c r="E161" s="893"/>
      <c r="F161" s="894"/>
      <c r="G161" s="893"/>
      <c r="H161" s="80"/>
      <c r="I161" s="283"/>
    </row>
    <row r="162" spans="1:19" ht="14.1" customHeight="1" x14ac:dyDescent="0.2">
      <c r="A162" s="31"/>
      <c r="B162" s="60"/>
      <c r="C162" s="62" t="s">
        <v>434</v>
      </c>
      <c r="D162" s="61" t="s">
        <v>435</v>
      </c>
      <c r="E162" s="893">
        <v>0</v>
      </c>
      <c r="F162" s="894">
        <v>26901.7</v>
      </c>
      <c r="G162" s="885">
        <v>0</v>
      </c>
      <c r="H162" s="73" t="s">
        <v>305</v>
      </c>
      <c r="I162" s="243">
        <f>(G162/F162)*100</f>
        <v>0</v>
      </c>
    </row>
    <row r="163" spans="1:19" ht="14.1" customHeight="1" x14ac:dyDescent="0.2">
      <c r="A163" s="31"/>
      <c r="B163" s="60"/>
      <c r="C163" s="61"/>
      <c r="D163" s="61"/>
      <c r="E163" s="893"/>
      <c r="F163" s="894"/>
      <c r="G163" s="893"/>
      <c r="H163" s="80"/>
      <c r="I163" s="283"/>
    </row>
    <row r="164" spans="1:19" ht="14.1" customHeight="1" x14ac:dyDescent="0.2">
      <c r="A164" s="160" t="s">
        <v>223</v>
      </c>
      <c r="B164" s="1015" t="s">
        <v>241</v>
      </c>
      <c r="C164" s="1016"/>
      <c r="D164" s="284"/>
      <c r="E164" s="895">
        <f>SUM(E166:E167)</f>
        <v>0</v>
      </c>
      <c r="F164" s="896">
        <f>SUM(F165:F167)</f>
        <v>10837</v>
      </c>
      <c r="G164" s="895">
        <f>SUM(G165:G167)</f>
        <v>10662</v>
      </c>
      <c r="H164" s="73" t="s">
        <v>305</v>
      </c>
      <c r="I164" s="243">
        <f t="shared" ref="I164:I167" si="47">(G164/F164)*100</f>
        <v>98.385161945187775</v>
      </c>
    </row>
    <row r="165" spans="1:19" ht="14.1" customHeight="1" x14ac:dyDescent="0.2">
      <c r="A165" s="160"/>
      <c r="B165" s="410"/>
      <c r="C165" s="34" t="s">
        <v>486</v>
      </c>
      <c r="D165" s="284" t="s">
        <v>74</v>
      </c>
      <c r="E165" s="895">
        <v>0</v>
      </c>
      <c r="F165" s="888">
        <v>336</v>
      </c>
      <c r="G165" s="887">
        <v>177</v>
      </c>
      <c r="H165" s="213" t="s">
        <v>305</v>
      </c>
      <c r="I165" s="253">
        <f t="shared" si="47"/>
        <v>52.678571428571431</v>
      </c>
    </row>
    <row r="166" spans="1:19" ht="14.1" customHeight="1" x14ac:dyDescent="0.2">
      <c r="A166" s="160"/>
      <c r="B166" s="33"/>
      <c r="C166" s="34" t="s">
        <v>468</v>
      </c>
      <c r="D166" s="284" t="s">
        <v>222</v>
      </c>
      <c r="E166" s="897">
        <v>0</v>
      </c>
      <c r="F166" s="888">
        <v>6935.5</v>
      </c>
      <c r="G166" s="887">
        <v>6935</v>
      </c>
      <c r="H166" s="213" t="s">
        <v>305</v>
      </c>
      <c r="I166" s="253">
        <f t="shared" si="47"/>
        <v>99.99279071444019</v>
      </c>
    </row>
    <row r="167" spans="1:19" ht="14.1" customHeight="1" x14ac:dyDescent="0.2">
      <c r="A167" s="47"/>
      <c r="B167" s="35"/>
      <c r="C167" s="36" t="s">
        <v>485</v>
      </c>
      <c r="D167" s="285" t="s">
        <v>564</v>
      </c>
      <c r="E167" s="898">
        <v>0</v>
      </c>
      <c r="F167" s="899">
        <v>3565.5</v>
      </c>
      <c r="G167" s="887">
        <v>3550</v>
      </c>
      <c r="H167" s="213" t="s">
        <v>305</v>
      </c>
      <c r="I167" s="253">
        <f t="shared" si="47"/>
        <v>99.56527836208106</v>
      </c>
    </row>
    <row r="168" spans="1:19" ht="14.1" customHeight="1" x14ac:dyDescent="0.2">
      <c r="A168" s="31"/>
      <c r="B168" s="19"/>
      <c r="C168" s="20"/>
      <c r="D168" s="62"/>
      <c r="E168" s="897"/>
      <c r="F168" s="888"/>
      <c r="G168" s="897"/>
      <c r="H168" s="282"/>
      <c r="I168" s="253"/>
      <c r="Q168" s="313"/>
    </row>
    <row r="169" spans="1:19" ht="14.1" customHeight="1" x14ac:dyDescent="0.2">
      <c r="A169" s="31" t="s">
        <v>283</v>
      </c>
      <c r="B169" s="161" t="s">
        <v>281</v>
      </c>
      <c r="C169" s="411"/>
      <c r="D169" s="61"/>
      <c r="E169" s="885">
        <f>SUM(E170:E170)</f>
        <v>97</v>
      </c>
      <c r="F169" s="886">
        <f>SUM(F170:F170)</f>
        <v>97</v>
      </c>
      <c r="G169" s="885">
        <f>SUM(G170:G170)</f>
        <v>0</v>
      </c>
      <c r="H169" s="242">
        <f t="shared" si="46"/>
        <v>0</v>
      </c>
      <c r="I169" s="243">
        <f t="shared" ref="I169:I170" si="48">(G169/F169)*100</f>
        <v>0</v>
      </c>
      <c r="Q169" s="313"/>
    </row>
    <row r="170" spans="1:19" ht="30" customHeight="1" thickBot="1" x14ac:dyDescent="0.25">
      <c r="A170" s="47"/>
      <c r="B170" s="168" t="s">
        <v>294</v>
      </c>
      <c r="C170" s="451" t="s">
        <v>588</v>
      </c>
      <c r="D170" s="286" t="s">
        <v>74</v>
      </c>
      <c r="E170" s="898">
        <v>97</v>
      </c>
      <c r="F170" s="899">
        <v>97</v>
      </c>
      <c r="G170" s="898">
        <v>0</v>
      </c>
      <c r="H170" s="297">
        <f t="shared" si="46"/>
        <v>0</v>
      </c>
      <c r="I170" s="288">
        <f t="shared" si="48"/>
        <v>0</v>
      </c>
      <c r="Q170" s="313"/>
    </row>
    <row r="171" spans="1:19" s="235" customFormat="1" ht="15" customHeight="1" thickBot="1" x14ac:dyDescent="0.3">
      <c r="A171" s="408" t="s">
        <v>16</v>
      </c>
      <c r="B171" s="409"/>
      <c r="C171" s="409"/>
      <c r="D171" s="409"/>
      <c r="E171" s="900">
        <f>E7+E164+E169</f>
        <v>160072</v>
      </c>
      <c r="F171" s="901">
        <f>F7+F162+F164+F169</f>
        <v>264284</v>
      </c>
      <c r="G171" s="900">
        <f>G7+G164+G169</f>
        <v>237109</v>
      </c>
      <c r="H171" s="311">
        <f t="shared" si="46"/>
        <v>148.12646808935978</v>
      </c>
      <c r="I171" s="289">
        <f>(G171/F171)*100</f>
        <v>89.717500870275913</v>
      </c>
      <c r="J171" s="229"/>
      <c r="K171" s="845"/>
      <c r="L171" s="229"/>
      <c r="M171" s="229"/>
      <c r="N171" s="229"/>
      <c r="O171" s="229"/>
      <c r="P171" s="229"/>
      <c r="Q171" s="229"/>
      <c r="R171" s="229"/>
      <c r="S171" s="229"/>
    </row>
    <row r="172" spans="1:19" s="235" customFormat="1" ht="15" customHeight="1" x14ac:dyDescent="0.25">
      <c r="A172" s="456"/>
      <c r="B172" s="456"/>
      <c r="C172" s="456"/>
      <c r="D172" s="456"/>
      <c r="E172" s="457"/>
      <c r="F172" s="458"/>
      <c r="G172" s="457"/>
      <c r="H172" s="328"/>
      <c r="I172" s="459"/>
      <c r="J172" s="229"/>
      <c r="K172" s="845"/>
      <c r="L172" s="229"/>
      <c r="M172" s="229"/>
      <c r="N172" s="229"/>
      <c r="O172" s="229"/>
      <c r="P172" s="229"/>
      <c r="Q172" s="229"/>
      <c r="R172" s="229"/>
      <c r="S172" s="229"/>
    </row>
    <row r="173" spans="1:19" ht="13.5" thickBot="1" x14ac:dyDescent="0.25">
      <c r="A173" s="290"/>
      <c r="B173" s="290"/>
      <c r="C173" s="290"/>
      <c r="D173" s="290"/>
      <c r="E173" s="165"/>
      <c r="F173" s="165"/>
      <c r="G173" s="166"/>
      <c r="H173" s="166"/>
      <c r="I173" s="167"/>
    </row>
    <row r="174" spans="1:19" x14ac:dyDescent="0.2">
      <c r="A174" s="6" t="s">
        <v>1</v>
      </c>
      <c r="B174" s="3" t="s">
        <v>2</v>
      </c>
      <c r="C174" s="291" t="s">
        <v>3</v>
      </c>
      <c r="D174" s="292"/>
      <c r="E174" s="44" t="s">
        <v>4</v>
      </c>
      <c r="F174" s="44" t="s">
        <v>372</v>
      </c>
      <c r="G174" s="44" t="s">
        <v>306</v>
      </c>
      <c r="H174" s="51" t="s">
        <v>373</v>
      </c>
      <c r="I174" s="76" t="s">
        <v>373</v>
      </c>
    </row>
    <row r="175" spans="1:19" x14ac:dyDescent="0.2">
      <c r="A175" s="7" t="s">
        <v>5</v>
      </c>
      <c r="B175" s="4" t="s">
        <v>6</v>
      </c>
      <c r="C175" s="293" t="s">
        <v>7</v>
      </c>
      <c r="D175" s="8" t="s">
        <v>8</v>
      </c>
      <c r="E175" s="45" t="s">
        <v>242</v>
      </c>
      <c r="F175" s="45" t="s">
        <v>374</v>
      </c>
      <c r="G175" s="45" t="s">
        <v>307</v>
      </c>
      <c r="H175" s="52" t="s">
        <v>375</v>
      </c>
      <c r="I175" s="77" t="s">
        <v>376</v>
      </c>
    </row>
    <row r="176" spans="1:19" ht="13.5" thickBot="1" x14ac:dyDescent="0.25">
      <c r="A176" s="7" t="s">
        <v>9</v>
      </c>
      <c r="B176" s="4" t="s">
        <v>10</v>
      </c>
      <c r="C176" s="293"/>
      <c r="D176" s="8"/>
      <c r="E176" s="45" t="s">
        <v>293</v>
      </c>
      <c r="F176" s="338">
        <f>F153</f>
        <v>44561</v>
      </c>
      <c r="G176" s="338">
        <f>G153</f>
        <v>44561</v>
      </c>
      <c r="H176" s="53" t="s">
        <v>220</v>
      </c>
      <c r="I176" s="78" t="s">
        <v>220</v>
      </c>
    </row>
    <row r="177" spans="1:19" s="235" customFormat="1" ht="15.75" x14ac:dyDescent="0.25">
      <c r="A177" s="9" t="s">
        <v>310</v>
      </c>
      <c r="B177" s="29"/>
      <c r="C177" s="381"/>
      <c r="D177" s="382"/>
      <c r="E177" s="99"/>
      <c r="F177" s="100"/>
      <c r="G177" s="99"/>
      <c r="H177" s="101"/>
      <c r="I177" s="102"/>
      <c r="J177" s="229"/>
      <c r="K177" s="845"/>
      <c r="L177" s="229"/>
      <c r="M177" s="229"/>
      <c r="N177" s="229"/>
      <c r="O177" s="229"/>
      <c r="P177" s="229"/>
      <c r="Q177" s="229"/>
      <c r="R177" s="229"/>
      <c r="S177" s="229"/>
    </row>
    <row r="178" spans="1:19" x14ac:dyDescent="0.2">
      <c r="A178" s="47" t="s">
        <v>283</v>
      </c>
      <c r="B178" s="1002" t="s">
        <v>281</v>
      </c>
      <c r="C178" s="1005"/>
      <c r="D178" s="294"/>
      <c r="E178" s="858">
        <f>E179</f>
        <v>950</v>
      </c>
      <c r="F178" s="859">
        <f t="shared" ref="F178:G178" si="49">F179</f>
        <v>950</v>
      </c>
      <c r="G178" s="858">
        <f t="shared" si="49"/>
        <v>0</v>
      </c>
      <c r="H178" s="295">
        <f t="shared" ref="H178:H251" si="50">(G178/E178)*100</f>
        <v>0</v>
      </c>
      <c r="I178" s="243">
        <f>(G178/F178)*100</f>
        <v>0</v>
      </c>
    </row>
    <row r="179" spans="1:19" s="299" customFormat="1" ht="33" customHeight="1" x14ac:dyDescent="0.2">
      <c r="A179" s="232" t="s">
        <v>283</v>
      </c>
      <c r="B179" s="228" t="s">
        <v>294</v>
      </c>
      <c r="C179" s="451" t="s">
        <v>587</v>
      </c>
      <c r="D179" s="286" t="s">
        <v>74</v>
      </c>
      <c r="E179" s="902">
        <v>950</v>
      </c>
      <c r="F179" s="903">
        <v>950</v>
      </c>
      <c r="G179" s="902">
        <v>0</v>
      </c>
      <c r="H179" s="297">
        <f t="shared" si="50"/>
        <v>0</v>
      </c>
      <c r="I179" s="253">
        <f t="shared" ref="I179:I251" si="51">(G179/F179)*100</f>
        <v>0</v>
      </c>
      <c r="J179" s="298"/>
      <c r="K179" s="847"/>
      <c r="L179" s="298"/>
      <c r="M179" s="298"/>
      <c r="N179" s="298"/>
      <c r="O179" s="298"/>
      <c r="P179" s="298"/>
      <c r="Q179" s="298"/>
      <c r="R179" s="298"/>
      <c r="S179" s="298"/>
    </row>
    <row r="180" spans="1:19" s="299" customFormat="1" ht="14.25" customHeight="1" x14ac:dyDescent="0.2">
      <c r="A180" s="232"/>
      <c r="B180" s="228"/>
      <c r="C180" s="451"/>
      <c r="D180" s="296"/>
      <c r="E180" s="902"/>
      <c r="F180" s="903"/>
      <c r="G180" s="902"/>
      <c r="H180" s="295"/>
      <c r="I180" s="253"/>
      <c r="J180" s="298"/>
      <c r="K180" s="847"/>
      <c r="L180" s="298"/>
      <c r="M180" s="298"/>
      <c r="N180" s="298"/>
      <c r="O180" s="298"/>
      <c r="P180" s="298"/>
      <c r="Q180" s="298"/>
      <c r="R180" s="298"/>
      <c r="S180" s="298"/>
    </row>
    <row r="181" spans="1:19" x14ac:dyDescent="0.2">
      <c r="A181" s="31" t="s">
        <v>436</v>
      </c>
      <c r="B181" s="48" t="s">
        <v>262</v>
      </c>
      <c r="C181" s="162"/>
      <c r="D181" s="300"/>
      <c r="E181" s="904">
        <v>0</v>
      </c>
      <c r="F181" s="905">
        <f>F182</f>
        <v>600</v>
      </c>
      <c r="G181" s="904">
        <v>0</v>
      </c>
      <c r="H181" s="163" t="s">
        <v>305</v>
      </c>
      <c r="I181" s="243">
        <f t="shared" ref="I181" si="52">(G181/F181)*100</f>
        <v>0</v>
      </c>
    </row>
    <row r="182" spans="1:19" ht="12.75" customHeight="1" x14ac:dyDescent="0.2">
      <c r="A182" s="304" t="s">
        <v>436</v>
      </c>
      <c r="B182" s="39" t="s">
        <v>543</v>
      </c>
      <c r="C182" s="438" t="s">
        <v>437</v>
      </c>
      <c r="D182" s="321" t="s">
        <v>25</v>
      </c>
      <c r="E182" s="306">
        <v>0</v>
      </c>
      <c r="F182" s="906">
        <v>600</v>
      </c>
      <c r="G182" s="307">
        <v>0</v>
      </c>
      <c r="H182" s="171" t="s">
        <v>305</v>
      </c>
      <c r="I182" s="253">
        <f t="shared" si="51"/>
        <v>0</v>
      </c>
    </row>
    <row r="183" spans="1:19" x14ac:dyDescent="0.2">
      <c r="A183" s="434"/>
      <c r="B183" s="435"/>
      <c r="C183" s="439"/>
      <c r="D183" s="436"/>
      <c r="E183" s="907"/>
      <c r="F183" s="908"/>
      <c r="G183" s="909"/>
      <c r="H183" s="190"/>
      <c r="I183" s="437"/>
    </row>
    <row r="184" spans="1:19" x14ac:dyDescent="0.2">
      <c r="A184" s="79" t="s">
        <v>32</v>
      </c>
      <c r="B184" s="452" t="s">
        <v>33</v>
      </c>
      <c r="C184" s="376"/>
      <c r="D184" s="377"/>
      <c r="E184" s="910">
        <f>SUM(E185:E202)</f>
        <v>5163</v>
      </c>
      <c r="F184" s="911">
        <f>SUM(F185:F192)+SUM(F202:F213)</f>
        <v>21230.3</v>
      </c>
      <c r="G184" s="910">
        <f>SUM(G185:G192)+SUM(G202:G213)</f>
        <v>11325</v>
      </c>
      <c r="H184" s="360">
        <f t="shared" ref="H184:H202" si="53">(G184/E184)*100</f>
        <v>219.34921557234168</v>
      </c>
      <c r="I184" s="378">
        <f t="shared" ref="I184:I189" si="54">(G184/F184)*100</f>
        <v>53.343570274560413</v>
      </c>
    </row>
    <row r="185" spans="1:19" s="230" customFormat="1" x14ac:dyDescent="0.2">
      <c r="A185" s="66" t="s">
        <v>32</v>
      </c>
      <c r="B185" s="67" t="s">
        <v>356</v>
      </c>
      <c r="C185" s="224" t="s">
        <v>357</v>
      </c>
      <c r="D185" s="224" t="s">
        <v>74</v>
      </c>
      <c r="E185" s="306">
        <v>3</v>
      </c>
      <c r="F185" s="906">
        <v>3</v>
      </c>
      <c r="G185" s="912">
        <v>3</v>
      </c>
      <c r="H185" s="231">
        <f t="shared" si="53"/>
        <v>100</v>
      </c>
      <c r="I185" s="340">
        <f t="shared" si="54"/>
        <v>100</v>
      </c>
      <c r="K185" s="846"/>
    </row>
    <row r="186" spans="1:19" s="230" customFormat="1" ht="12.75" customHeight="1" x14ac:dyDescent="0.2">
      <c r="A186" s="66" t="s">
        <v>32</v>
      </c>
      <c r="B186" s="67" t="s">
        <v>402</v>
      </c>
      <c r="C186" s="224" t="s">
        <v>544</v>
      </c>
      <c r="D186" s="224" t="s">
        <v>74</v>
      </c>
      <c r="E186" s="306">
        <v>500</v>
      </c>
      <c r="F186" s="906">
        <v>500</v>
      </c>
      <c r="G186" s="912">
        <v>500</v>
      </c>
      <c r="H186" s="231">
        <f t="shared" si="53"/>
        <v>100</v>
      </c>
      <c r="I186" s="340">
        <f t="shared" si="54"/>
        <v>100</v>
      </c>
      <c r="K186" s="846"/>
      <c r="L186" s="313"/>
    </row>
    <row r="187" spans="1:19" s="230" customFormat="1" ht="12.75" customHeight="1" x14ac:dyDescent="0.2">
      <c r="A187" s="66" t="s">
        <v>32</v>
      </c>
      <c r="B187" s="67" t="s">
        <v>494</v>
      </c>
      <c r="C187" s="224" t="s">
        <v>547</v>
      </c>
      <c r="D187" s="224" t="s">
        <v>545</v>
      </c>
      <c r="E187" s="306">
        <v>0</v>
      </c>
      <c r="F187" s="906">
        <f>368+50</f>
        <v>418</v>
      </c>
      <c r="G187" s="912">
        <v>418</v>
      </c>
      <c r="H187" s="171" t="s">
        <v>305</v>
      </c>
      <c r="I187" s="253">
        <f t="shared" si="54"/>
        <v>100</v>
      </c>
      <c r="K187" s="846"/>
      <c r="L187" s="313"/>
    </row>
    <row r="188" spans="1:19" s="230" customFormat="1" ht="12.75" customHeight="1" x14ac:dyDescent="0.2">
      <c r="A188" s="66" t="s">
        <v>32</v>
      </c>
      <c r="B188" s="67" t="s">
        <v>495</v>
      </c>
      <c r="C188" s="224" t="s">
        <v>546</v>
      </c>
      <c r="D188" s="224" t="s">
        <v>74</v>
      </c>
      <c r="E188" s="306">
        <v>0</v>
      </c>
      <c r="F188" s="906">
        <v>6000</v>
      </c>
      <c r="G188" s="912">
        <v>151</v>
      </c>
      <c r="H188" s="171" t="s">
        <v>305</v>
      </c>
      <c r="I188" s="253">
        <f t="shared" si="54"/>
        <v>2.5166666666666666</v>
      </c>
      <c r="K188" s="846"/>
      <c r="L188" s="313"/>
    </row>
    <row r="189" spans="1:19" s="230" customFormat="1" x14ac:dyDescent="0.2">
      <c r="A189" s="66" t="s">
        <v>32</v>
      </c>
      <c r="B189" s="67" t="s">
        <v>403</v>
      </c>
      <c r="C189" s="224" t="s">
        <v>548</v>
      </c>
      <c r="D189" s="224" t="s">
        <v>545</v>
      </c>
      <c r="E189" s="306">
        <v>173</v>
      </c>
      <c r="F189" s="906">
        <v>173</v>
      </c>
      <c r="G189" s="912">
        <v>173</v>
      </c>
      <c r="H189" s="231">
        <f t="shared" si="53"/>
        <v>100</v>
      </c>
      <c r="I189" s="253">
        <f t="shared" si="54"/>
        <v>100</v>
      </c>
      <c r="K189" s="846"/>
    </row>
    <row r="190" spans="1:19" s="230" customFormat="1" x14ac:dyDescent="0.2">
      <c r="A190" s="66" t="s">
        <v>32</v>
      </c>
      <c r="B190" s="67" t="s">
        <v>404</v>
      </c>
      <c r="C190" s="224" t="s">
        <v>549</v>
      </c>
      <c r="D190" s="224" t="s">
        <v>74</v>
      </c>
      <c r="E190" s="306">
        <v>400</v>
      </c>
      <c r="F190" s="906">
        <v>188.8</v>
      </c>
      <c r="G190" s="912">
        <v>189</v>
      </c>
      <c r="H190" s="231">
        <f t="shared" si="53"/>
        <v>47.25</v>
      </c>
      <c r="I190" s="340">
        <f t="shared" ref="I190:I207" si="55">(G190/F190)*100</f>
        <v>100.10593220338981</v>
      </c>
      <c r="K190" s="846"/>
    </row>
    <row r="191" spans="1:19" s="230" customFormat="1" x14ac:dyDescent="0.2">
      <c r="A191" s="66" t="s">
        <v>32</v>
      </c>
      <c r="B191" s="67" t="s">
        <v>405</v>
      </c>
      <c r="C191" s="224" t="s">
        <v>550</v>
      </c>
      <c r="D191" s="224" t="s">
        <v>545</v>
      </c>
      <c r="E191" s="306">
        <v>86</v>
      </c>
      <c r="F191" s="906">
        <v>86</v>
      </c>
      <c r="G191" s="912">
        <v>86</v>
      </c>
      <c r="H191" s="231">
        <f t="shared" si="53"/>
        <v>100</v>
      </c>
      <c r="I191" s="340">
        <f t="shared" si="55"/>
        <v>100</v>
      </c>
      <c r="K191" s="846"/>
    </row>
    <row r="192" spans="1:19" s="230" customFormat="1" x14ac:dyDescent="0.2">
      <c r="A192" s="66" t="s">
        <v>32</v>
      </c>
      <c r="B192" s="67" t="s">
        <v>406</v>
      </c>
      <c r="C192" s="224" t="s">
        <v>551</v>
      </c>
      <c r="D192" s="224" t="s">
        <v>74</v>
      </c>
      <c r="E192" s="306">
        <v>750</v>
      </c>
      <c r="F192" s="906">
        <v>750</v>
      </c>
      <c r="G192" s="912">
        <v>750</v>
      </c>
      <c r="H192" s="991">
        <f t="shared" si="53"/>
        <v>100</v>
      </c>
      <c r="I192" s="340">
        <f t="shared" si="55"/>
        <v>100</v>
      </c>
      <c r="K192" s="846"/>
    </row>
    <row r="193" spans="1:11" s="230" customFormat="1" x14ac:dyDescent="0.2">
      <c r="A193" s="460"/>
      <c r="B193" s="460"/>
      <c r="C193" s="468"/>
      <c r="D193" s="468"/>
      <c r="E193" s="302"/>
      <c r="F193" s="916"/>
      <c r="G193" s="917"/>
      <c r="H193" s="380"/>
      <c r="I193" s="463"/>
      <c r="K193" s="846"/>
    </row>
    <row r="194" spans="1:11" s="230" customFormat="1" x14ac:dyDescent="0.2">
      <c r="A194" s="460"/>
      <c r="B194" s="460"/>
      <c r="C194" s="468"/>
      <c r="D194" s="468"/>
      <c r="E194" s="302"/>
      <c r="F194" s="916"/>
      <c r="G194" s="917"/>
      <c r="H194" s="380"/>
      <c r="I194" s="463"/>
      <c r="K194" s="846"/>
    </row>
    <row r="195" spans="1:11" s="230" customFormat="1" x14ac:dyDescent="0.2">
      <c r="A195" s="460"/>
      <c r="B195" s="460"/>
      <c r="C195" s="468"/>
      <c r="D195" s="468"/>
      <c r="E195" s="302"/>
      <c r="F195" s="916"/>
      <c r="G195" s="917"/>
      <c r="H195" s="380"/>
      <c r="I195" s="463"/>
      <c r="K195" s="846"/>
    </row>
    <row r="196" spans="1:11" s="230" customFormat="1" x14ac:dyDescent="0.2">
      <c r="A196" s="460"/>
      <c r="B196" s="460"/>
      <c r="C196" s="468"/>
      <c r="D196" s="468"/>
      <c r="E196" s="302"/>
      <c r="F196" s="916"/>
      <c r="G196" s="917"/>
      <c r="H196" s="380"/>
      <c r="I196" s="463"/>
      <c r="K196" s="846"/>
    </row>
    <row r="197" spans="1:11" s="230" customFormat="1" x14ac:dyDescent="0.2">
      <c r="A197" s="460"/>
      <c r="B197" s="460"/>
      <c r="C197" s="468"/>
      <c r="D197" s="468"/>
      <c r="E197" s="302"/>
      <c r="F197" s="916"/>
      <c r="G197" s="917"/>
      <c r="H197" s="380"/>
      <c r="I197" s="463"/>
      <c r="K197" s="846"/>
    </row>
    <row r="198" spans="1:11" s="230" customFormat="1" ht="13.5" thickBot="1" x14ac:dyDescent="0.25">
      <c r="A198" s="222"/>
      <c r="B198" s="222"/>
      <c r="C198" s="301"/>
      <c r="D198" s="301"/>
      <c r="E198" s="302"/>
      <c r="F198" s="916"/>
      <c r="G198" s="303"/>
      <c r="H198" s="223"/>
      <c r="I198" s="219" t="s">
        <v>599</v>
      </c>
      <c r="K198" s="846"/>
    </row>
    <row r="199" spans="1:11" s="230" customFormat="1" x14ac:dyDescent="0.2">
      <c r="A199" s="6" t="s">
        <v>1</v>
      </c>
      <c r="B199" s="3" t="s">
        <v>2</v>
      </c>
      <c r="C199" s="291" t="s">
        <v>3</v>
      </c>
      <c r="D199" s="292"/>
      <c r="E199" s="3" t="s">
        <v>4</v>
      </c>
      <c r="F199" s="3" t="s">
        <v>372</v>
      </c>
      <c r="G199" s="3" t="s">
        <v>306</v>
      </c>
      <c r="H199" s="51" t="s">
        <v>373</v>
      </c>
      <c r="I199" s="76" t="s">
        <v>373</v>
      </c>
      <c r="K199" s="846"/>
    </row>
    <row r="200" spans="1:11" s="230" customFormat="1" x14ac:dyDescent="0.2">
      <c r="A200" s="7" t="s">
        <v>5</v>
      </c>
      <c r="B200" s="4" t="s">
        <v>6</v>
      </c>
      <c r="C200" s="293" t="s">
        <v>7</v>
      </c>
      <c r="D200" s="8" t="s">
        <v>8</v>
      </c>
      <c r="E200" s="4" t="s">
        <v>242</v>
      </c>
      <c r="F200" s="4" t="s">
        <v>374</v>
      </c>
      <c r="G200" s="4" t="s">
        <v>307</v>
      </c>
      <c r="H200" s="52" t="s">
        <v>375</v>
      </c>
      <c r="I200" s="77" t="s">
        <v>376</v>
      </c>
      <c r="K200" s="846"/>
    </row>
    <row r="201" spans="1:11" s="230" customFormat="1" ht="13.5" thickBot="1" x14ac:dyDescent="0.25">
      <c r="A201" s="54" t="s">
        <v>9</v>
      </c>
      <c r="B201" s="5" t="s">
        <v>10</v>
      </c>
      <c r="C201" s="317"/>
      <c r="D201" s="16"/>
      <c r="E201" s="5" t="s">
        <v>293</v>
      </c>
      <c r="F201" s="338">
        <v>44561</v>
      </c>
      <c r="G201" s="338">
        <v>44561</v>
      </c>
      <c r="H201" s="53" t="s">
        <v>220</v>
      </c>
      <c r="I201" s="78" t="s">
        <v>220</v>
      </c>
      <c r="K201" s="846"/>
    </row>
    <row r="202" spans="1:11" s="230" customFormat="1" ht="25.5" x14ac:dyDescent="0.2">
      <c r="A202" s="66" t="s">
        <v>32</v>
      </c>
      <c r="B202" s="67" t="s">
        <v>407</v>
      </c>
      <c r="C202" s="224" t="s">
        <v>552</v>
      </c>
      <c r="D202" s="224" t="s">
        <v>74</v>
      </c>
      <c r="E202" s="306">
        <v>3251</v>
      </c>
      <c r="F202" s="906">
        <v>3251</v>
      </c>
      <c r="G202" s="912">
        <v>3251</v>
      </c>
      <c r="H202" s="231">
        <f t="shared" si="53"/>
        <v>100</v>
      </c>
      <c r="I202" s="340">
        <f t="shared" si="55"/>
        <v>100</v>
      </c>
      <c r="K202" s="846"/>
    </row>
    <row r="203" spans="1:11" s="230" customFormat="1" ht="25.5" x14ac:dyDescent="0.2">
      <c r="A203" s="341" t="s">
        <v>32</v>
      </c>
      <c r="B203" s="67" t="s">
        <v>420</v>
      </c>
      <c r="C203" s="342" t="s">
        <v>553</v>
      </c>
      <c r="D203" s="224" t="s">
        <v>74</v>
      </c>
      <c r="E203" s="306">
        <v>0</v>
      </c>
      <c r="F203" s="906">
        <v>1170</v>
      </c>
      <c r="G203" s="912">
        <v>1030</v>
      </c>
      <c r="H203" s="212" t="s">
        <v>305</v>
      </c>
      <c r="I203" s="340">
        <f t="shared" si="55"/>
        <v>88.034188034188034</v>
      </c>
      <c r="K203" s="846"/>
    </row>
    <row r="204" spans="1:11" s="230" customFormat="1" x14ac:dyDescent="0.2">
      <c r="A204" s="341" t="s">
        <v>32</v>
      </c>
      <c r="B204" s="67" t="s">
        <v>421</v>
      </c>
      <c r="C204" s="342" t="s">
        <v>554</v>
      </c>
      <c r="D204" s="224" t="s">
        <v>74</v>
      </c>
      <c r="E204" s="306">
        <v>0</v>
      </c>
      <c r="F204" s="906">
        <v>628.1</v>
      </c>
      <c r="G204" s="912">
        <v>628</v>
      </c>
      <c r="H204" s="212" t="s">
        <v>305</v>
      </c>
      <c r="I204" s="340">
        <f t="shared" si="55"/>
        <v>99.984078968317149</v>
      </c>
      <c r="K204" s="846"/>
    </row>
    <row r="205" spans="1:11" s="230" customFormat="1" x14ac:dyDescent="0.2">
      <c r="A205" s="341" t="s">
        <v>32</v>
      </c>
      <c r="B205" s="67" t="s">
        <v>422</v>
      </c>
      <c r="C205" s="342" t="s">
        <v>555</v>
      </c>
      <c r="D205" s="224" t="s">
        <v>74</v>
      </c>
      <c r="E205" s="306">
        <v>0</v>
      </c>
      <c r="F205" s="906">
        <v>516.4</v>
      </c>
      <c r="G205" s="912">
        <v>516</v>
      </c>
      <c r="H205" s="212" t="s">
        <v>305</v>
      </c>
      <c r="I205" s="340">
        <f t="shared" si="55"/>
        <v>99.922540666150269</v>
      </c>
      <c r="K205" s="846"/>
    </row>
    <row r="206" spans="1:11" s="230" customFormat="1" ht="25.5" x14ac:dyDescent="0.2">
      <c r="A206" s="341" t="s">
        <v>32</v>
      </c>
      <c r="B206" s="67" t="s">
        <v>423</v>
      </c>
      <c r="C206" s="342" t="s">
        <v>556</v>
      </c>
      <c r="D206" s="224" t="s">
        <v>74</v>
      </c>
      <c r="E206" s="306">
        <v>0</v>
      </c>
      <c r="F206" s="906">
        <v>1125</v>
      </c>
      <c r="G206" s="912">
        <v>996</v>
      </c>
      <c r="H206" s="212" t="s">
        <v>305</v>
      </c>
      <c r="I206" s="340">
        <f t="shared" si="55"/>
        <v>88.533333333333331</v>
      </c>
      <c r="K206" s="846"/>
    </row>
    <row r="207" spans="1:11" s="230" customFormat="1" ht="25.5" x14ac:dyDescent="0.2">
      <c r="A207" s="68" t="s">
        <v>32</v>
      </c>
      <c r="B207" s="67" t="s">
        <v>424</v>
      </c>
      <c r="C207" s="342" t="s">
        <v>557</v>
      </c>
      <c r="D207" s="224" t="s">
        <v>74</v>
      </c>
      <c r="E207" s="306">
        <v>0</v>
      </c>
      <c r="F207" s="906">
        <v>892.8</v>
      </c>
      <c r="G207" s="912">
        <v>847</v>
      </c>
      <c r="H207" s="202" t="s">
        <v>305</v>
      </c>
      <c r="I207" s="340">
        <f t="shared" si="55"/>
        <v>94.870071684587813</v>
      </c>
      <c r="K207" s="846"/>
    </row>
    <row r="208" spans="1:11" s="230" customFormat="1" ht="25.5" x14ac:dyDescent="0.2">
      <c r="A208" s="341" t="s">
        <v>32</v>
      </c>
      <c r="B208" s="65" t="s">
        <v>425</v>
      </c>
      <c r="C208" s="404" t="s">
        <v>586</v>
      </c>
      <c r="D208" s="224" t="s">
        <v>74</v>
      </c>
      <c r="E208" s="907">
        <v>0</v>
      </c>
      <c r="F208" s="908">
        <v>1093.0999999999999</v>
      </c>
      <c r="G208" s="909">
        <v>0</v>
      </c>
      <c r="H208" s="405" t="s">
        <v>305</v>
      </c>
      <c r="I208" s="406">
        <f t="shared" si="51"/>
        <v>0</v>
      </c>
      <c r="K208" s="846"/>
    </row>
    <row r="209" spans="1:11" s="230" customFormat="1" ht="25.5" x14ac:dyDescent="0.2">
      <c r="A209" s="341" t="s">
        <v>32</v>
      </c>
      <c r="B209" s="67" t="s">
        <v>426</v>
      </c>
      <c r="C209" s="342" t="s">
        <v>558</v>
      </c>
      <c r="D209" s="224" t="s">
        <v>74</v>
      </c>
      <c r="E209" s="306">
        <v>0</v>
      </c>
      <c r="F209" s="906">
        <v>459.2</v>
      </c>
      <c r="G209" s="307">
        <v>0</v>
      </c>
      <c r="H209" s="212" t="s">
        <v>305</v>
      </c>
      <c r="I209" s="340">
        <f t="shared" si="51"/>
        <v>0</v>
      </c>
      <c r="K209" s="846"/>
    </row>
    <row r="210" spans="1:11" s="230" customFormat="1" x14ac:dyDescent="0.2">
      <c r="A210" s="341" t="s">
        <v>32</v>
      </c>
      <c r="B210" s="67" t="s">
        <v>427</v>
      </c>
      <c r="C210" s="342" t="s">
        <v>559</v>
      </c>
      <c r="D210" s="224" t="s">
        <v>74</v>
      </c>
      <c r="E210" s="306">
        <v>0</v>
      </c>
      <c r="F210" s="906">
        <v>797.4</v>
      </c>
      <c r="G210" s="307">
        <v>747</v>
      </c>
      <c r="H210" s="212" t="s">
        <v>305</v>
      </c>
      <c r="I210" s="340">
        <f t="shared" si="51"/>
        <v>93.679458239277665</v>
      </c>
      <c r="K210" s="846"/>
    </row>
    <row r="211" spans="1:11" s="230" customFormat="1" ht="25.5" x14ac:dyDescent="0.2">
      <c r="A211" s="341" t="s">
        <v>32</v>
      </c>
      <c r="B211" s="67" t="s">
        <v>428</v>
      </c>
      <c r="C211" s="342" t="s">
        <v>560</v>
      </c>
      <c r="D211" s="224" t="s">
        <v>74</v>
      </c>
      <c r="E211" s="306">
        <v>0</v>
      </c>
      <c r="F211" s="906">
        <v>1127.7</v>
      </c>
      <c r="G211" s="307">
        <v>979</v>
      </c>
      <c r="H211" s="212" t="s">
        <v>305</v>
      </c>
      <c r="I211" s="340">
        <f t="shared" si="51"/>
        <v>86.813868936773957</v>
      </c>
      <c r="K211" s="846"/>
    </row>
    <row r="212" spans="1:11" s="230" customFormat="1" ht="25.5" x14ac:dyDescent="0.2">
      <c r="A212" s="341" t="s">
        <v>32</v>
      </c>
      <c r="B212" s="67" t="s">
        <v>429</v>
      </c>
      <c r="C212" s="342" t="s">
        <v>561</v>
      </c>
      <c r="D212" s="224" t="s">
        <v>74</v>
      </c>
      <c r="E212" s="306">
        <v>0</v>
      </c>
      <c r="F212" s="906">
        <v>1990.3</v>
      </c>
      <c r="G212" s="307">
        <v>0</v>
      </c>
      <c r="H212" s="212" t="s">
        <v>305</v>
      </c>
      <c r="I212" s="340">
        <f t="shared" si="51"/>
        <v>0</v>
      </c>
      <c r="K212" s="846"/>
    </row>
    <row r="213" spans="1:11" s="230" customFormat="1" ht="25.5" x14ac:dyDescent="0.2">
      <c r="A213" s="341" t="s">
        <v>32</v>
      </c>
      <c r="B213" s="67" t="s">
        <v>459</v>
      </c>
      <c r="C213" s="342" t="s">
        <v>562</v>
      </c>
      <c r="D213" s="224" t="s">
        <v>74</v>
      </c>
      <c r="E213" s="306">
        <v>0</v>
      </c>
      <c r="F213" s="906">
        <v>60.5</v>
      </c>
      <c r="G213" s="307">
        <v>61</v>
      </c>
      <c r="H213" s="212" t="s">
        <v>305</v>
      </c>
      <c r="I213" s="340">
        <f t="shared" ref="I213" si="56">(G213/F213)*100</f>
        <v>100.82644628099173</v>
      </c>
      <c r="K213" s="846"/>
    </row>
    <row r="214" spans="1:11" x14ac:dyDescent="0.2">
      <c r="A214" s="304"/>
      <c r="B214" s="39"/>
      <c r="C214" s="309"/>
      <c r="D214" s="305"/>
      <c r="E214" s="306"/>
      <c r="F214" s="906"/>
      <c r="G214" s="307"/>
      <c r="H214" s="287"/>
      <c r="I214" s="253"/>
    </row>
    <row r="215" spans="1:11" ht="25.5" x14ac:dyDescent="0.2">
      <c r="A215" s="31" t="s">
        <v>32</v>
      </c>
      <c r="B215" s="48" t="s">
        <v>383</v>
      </c>
      <c r="C215" s="49"/>
      <c r="D215" s="50" t="s">
        <v>571</v>
      </c>
      <c r="E215" s="918">
        <f>SUM(E216:E248)</f>
        <v>64980</v>
      </c>
      <c r="F215" s="919">
        <f>SUM(F216:F226)+SUM(F234:F248)</f>
        <v>98173.5</v>
      </c>
      <c r="G215" s="918">
        <f>SUM(G216:G226)+SUM(G234:G248)</f>
        <v>98173</v>
      </c>
      <c r="H215" s="295">
        <f t="shared" si="50"/>
        <v>151.08187134502924</v>
      </c>
      <c r="I215" s="243">
        <f t="shared" si="51"/>
        <v>99.999490697591511</v>
      </c>
    </row>
    <row r="216" spans="1:11" s="230" customFormat="1" ht="25.5" x14ac:dyDescent="0.2">
      <c r="A216" s="66" t="s">
        <v>32</v>
      </c>
      <c r="B216" s="67" t="s">
        <v>408</v>
      </c>
      <c r="C216" s="225" t="s">
        <v>565</v>
      </c>
      <c r="D216" s="50" t="s">
        <v>571</v>
      </c>
      <c r="E216" s="306">
        <v>7500</v>
      </c>
      <c r="F216" s="906">
        <v>7500</v>
      </c>
      <c r="G216" s="912">
        <v>7500</v>
      </c>
      <c r="H216" s="231">
        <f t="shared" si="50"/>
        <v>100</v>
      </c>
      <c r="I216" s="340">
        <f t="shared" si="51"/>
        <v>100</v>
      </c>
      <c r="K216" s="846"/>
    </row>
    <row r="217" spans="1:11" s="230" customFormat="1" ht="25.5" x14ac:dyDescent="0.2">
      <c r="A217" s="66" t="s">
        <v>32</v>
      </c>
      <c r="B217" s="67" t="s">
        <v>409</v>
      </c>
      <c r="C217" s="225" t="s">
        <v>572</v>
      </c>
      <c r="D217" s="50" t="s">
        <v>571</v>
      </c>
      <c r="E217" s="306">
        <v>4500</v>
      </c>
      <c r="F217" s="906">
        <v>4500</v>
      </c>
      <c r="G217" s="912">
        <v>4500</v>
      </c>
      <c r="H217" s="231">
        <f t="shared" si="50"/>
        <v>100</v>
      </c>
      <c r="I217" s="340">
        <f t="shared" si="51"/>
        <v>100</v>
      </c>
      <c r="K217" s="846"/>
    </row>
    <row r="218" spans="1:11" s="230" customFormat="1" ht="25.5" x14ac:dyDescent="0.2">
      <c r="A218" s="66" t="s">
        <v>32</v>
      </c>
      <c r="B218" s="67" t="s">
        <v>539</v>
      </c>
      <c r="C218" s="225" t="s">
        <v>566</v>
      </c>
      <c r="D218" s="50" t="s">
        <v>571</v>
      </c>
      <c r="E218" s="306">
        <v>3900</v>
      </c>
      <c r="F218" s="906">
        <v>1416</v>
      </c>
      <c r="G218" s="912">
        <v>1416</v>
      </c>
      <c r="H218" s="231">
        <f t="shared" si="50"/>
        <v>36.307692307692307</v>
      </c>
      <c r="I218" s="340">
        <f t="shared" si="51"/>
        <v>100</v>
      </c>
      <c r="K218" s="846"/>
    </row>
    <row r="219" spans="1:11" s="230" customFormat="1" ht="25.5" x14ac:dyDescent="0.2">
      <c r="A219" s="66" t="s">
        <v>32</v>
      </c>
      <c r="B219" s="67" t="s">
        <v>410</v>
      </c>
      <c r="C219" s="225" t="s">
        <v>651</v>
      </c>
      <c r="D219" s="50" t="s">
        <v>571</v>
      </c>
      <c r="E219" s="306">
        <v>5100</v>
      </c>
      <c r="F219" s="906">
        <v>5100</v>
      </c>
      <c r="G219" s="912">
        <v>5100</v>
      </c>
      <c r="H219" s="231">
        <f t="shared" si="50"/>
        <v>100</v>
      </c>
      <c r="I219" s="340">
        <f t="shared" si="51"/>
        <v>100</v>
      </c>
      <c r="K219" s="846"/>
    </row>
    <row r="220" spans="1:11" s="230" customFormat="1" ht="25.5" x14ac:dyDescent="0.2">
      <c r="A220" s="66" t="s">
        <v>32</v>
      </c>
      <c r="B220" s="67" t="s">
        <v>411</v>
      </c>
      <c r="C220" s="225" t="s">
        <v>652</v>
      </c>
      <c r="D220" s="50" t="s">
        <v>571</v>
      </c>
      <c r="E220" s="306">
        <v>7500</v>
      </c>
      <c r="F220" s="906">
        <v>3895.4</v>
      </c>
      <c r="G220" s="912">
        <v>3895</v>
      </c>
      <c r="H220" s="231">
        <f t="shared" si="50"/>
        <v>51.93333333333333</v>
      </c>
      <c r="I220" s="340">
        <f t="shared" si="51"/>
        <v>99.989731478153715</v>
      </c>
      <c r="K220" s="846"/>
    </row>
    <row r="221" spans="1:11" s="230" customFormat="1" ht="25.5" x14ac:dyDescent="0.2">
      <c r="A221" s="66" t="s">
        <v>32</v>
      </c>
      <c r="B221" s="67" t="s">
        <v>412</v>
      </c>
      <c r="C221" s="225" t="s">
        <v>567</v>
      </c>
      <c r="D221" s="50" t="s">
        <v>571</v>
      </c>
      <c r="E221" s="306">
        <v>5500</v>
      </c>
      <c r="F221" s="906">
        <v>5686</v>
      </c>
      <c r="G221" s="912">
        <v>5686</v>
      </c>
      <c r="H221" s="231">
        <f t="shared" si="50"/>
        <v>103.38181818181818</v>
      </c>
      <c r="I221" s="340">
        <f t="shared" si="51"/>
        <v>100</v>
      </c>
      <c r="K221" s="846"/>
    </row>
    <row r="222" spans="1:11" s="230" customFormat="1" ht="25.5" x14ac:dyDescent="0.2">
      <c r="A222" s="66" t="s">
        <v>32</v>
      </c>
      <c r="B222" s="67" t="s">
        <v>413</v>
      </c>
      <c r="C222" s="225" t="s">
        <v>568</v>
      </c>
      <c r="D222" s="50" t="s">
        <v>571</v>
      </c>
      <c r="E222" s="306">
        <v>3000</v>
      </c>
      <c r="F222" s="906">
        <v>3309.4</v>
      </c>
      <c r="G222" s="912">
        <v>3309</v>
      </c>
      <c r="H222" s="231">
        <f t="shared" si="50"/>
        <v>110.3</v>
      </c>
      <c r="I222" s="340">
        <f t="shared" si="51"/>
        <v>99.987913216897311</v>
      </c>
      <c r="K222" s="846"/>
    </row>
    <row r="223" spans="1:11" s="230" customFormat="1" ht="25.5" x14ac:dyDescent="0.2">
      <c r="A223" s="66" t="s">
        <v>32</v>
      </c>
      <c r="B223" s="67" t="s">
        <v>414</v>
      </c>
      <c r="C223" s="225" t="s">
        <v>569</v>
      </c>
      <c r="D223" s="50" t="s">
        <v>571</v>
      </c>
      <c r="E223" s="306">
        <v>3000</v>
      </c>
      <c r="F223" s="906">
        <v>773.3</v>
      </c>
      <c r="G223" s="912">
        <v>773</v>
      </c>
      <c r="H223" s="231">
        <f t="shared" si="50"/>
        <v>25.766666666666666</v>
      </c>
      <c r="I223" s="340">
        <f t="shared" si="51"/>
        <v>99.961205224363127</v>
      </c>
      <c r="K223" s="846"/>
    </row>
    <row r="224" spans="1:11" s="230" customFormat="1" ht="25.5" x14ac:dyDescent="0.2">
      <c r="A224" s="66" t="s">
        <v>32</v>
      </c>
      <c r="B224" s="67" t="s">
        <v>416</v>
      </c>
      <c r="C224" s="225" t="s">
        <v>570</v>
      </c>
      <c r="D224" s="50" t="s">
        <v>571</v>
      </c>
      <c r="E224" s="306">
        <v>3000</v>
      </c>
      <c r="F224" s="906">
        <v>2130.6</v>
      </c>
      <c r="G224" s="912">
        <v>2131</v>
      </c>
      <c r="H224" s="231">
        <f t="shared" si="50"/>
        <v>71.033333333333331</v>
      </c>
      <c r="I224" s="340">
        <f t="shared" si="51"/>
        <v>100.01877405425704</v>
      </c>
      <c r="K224" s="846"/>
    </row>
    <row r="225" spans="1:12" s="230" customFormat="1" ht="25.5" x14ac:dyDescent="0.2">
      <c r="A225" s="66" t="s">
        <v>32</v>
      </c>
      <c r="B225" s="98" t="s">
        <v>415</v>
      </c>
      <c r="C225" s="225" t="s">
        <v>583</v>
      </c>
      <c r="D225" s="50" t="s">
        <v>571</v>
      </c>
      <c r="E225" s="306">
        <v>2050</v>
      </c>
      <c r="F225" s="906">
        <v>2050</v>
      </c>
      <c r="G225" s="912">
        <v>2050</v>
      </c>
      <c r="H225" s="231">
        <f t="shared" si="50"/>
        <v>100</v>
      </c>
      <c r="I225" s="340">
        <f t="shared" si="51"/>
        <v>100</v>
      </c>
      <c r="K225" s="846"/>
    </row>
    <row r="226" spans="1:12" s="230" customFormat="1" ht="32.25" customHeight="1" thickBot="1" x14ac:dyDescent="0.25">
      <c r="A226" s="453" t="s">
        <v>32</v>
      </c>
      <c r="B226" s="412" t="s">
        <v>417</v>
      </c>
      <c r="C226" s="466" t="s">
        <v>573</v>
      </c>
      <c r="D226" s="467" t="s">
        <v>571</v>
      </c>
      <c r="E226" s="913">
        <v>5350</v>
      </c>
      <c r="F226" s="914">
        <v>5230</v>
      </c>
      <c r="G226" s="915">
        <v>5230</v>
      </c>
      <c r="H226" s="413">
        <f t="shared" si="50"/>
        <v>97.757009345794387</v>
      </c>
      <c r="I226" s="455">
        <f t="shared" si="51"/>
        <v>100</v>
      </c>
      <c r="K226" s="846"/>
      <c r="L226" s="313"/>
    </row>
    <row r="227" spans="1:12" s="230" customFormat="1" x14ac:dyDescent="0.2">
      <c r="A227" s="460"/>
      <c r="B227" s="379"/>
      <c r="C227" s="461"/>
      <c r="D227" s="462"/>
      <c r="E227" s="302"/>
      <c r="F227" s="916"/>
      <c r="G227" s="917"/>
      <c r="H227" s="380"/>
      <c r="I227" s="463"/>
      <c r="K227" s="846"/>
      <c r="L227" s="313"/>
    </row>
    <row r="228" spans="1:12" s="230" customFormat="1" x14ac:dyDescent="0.2">
      <c r="A228" s="460"/>
      <c r="B228" s="379"/>
      <c r="C228" s="461"/>
      <c r="D228" s="462"/>
      <c r="E228" s="302"/>
      <c r="F228" s="916"/>
      <c r="G228" s="917"/>
      <c r="H228" s="380"/>
      <c r="I228" s="463"/>
      <c r="K228" s="846"/>
      <c r="L228" s="313"/>
    </row>
    <row r="229" spans="1:12" s="464" customFormat="1" x14ac:dyDescent="0.2">
      <c r="A229" s="460"/>
      <c r="B229" s="379"/>
      <c r="C229" s="461"/>
      <c r="D229" s="462"/>
      <c r="E229" s="302"/>
      <c r="F229" s="916"/>
      <c r="G229" s="917"/>
      <c r="H229" s="380"/>
      <c r="I229" s="463"/>
      <c r="K229" s="848"/>
      <c r="L229" s="465"/>
    </row>
    <row r="230" spans="1:12" s="230" customFormat="1" ht="13.5" thickBot="1" x14ac:dyDescent="0.25">
      <c r="A230" s="222"/>
      <c r="B230" s="222"/>
      <c r="C230" s="301"/>
      <c r="D230" s="301"/>
      <c r="E230" s="302"/>
      <c r="F230" s="916"/>
      <c r="G230" s="303"/>
      <c r="H230" s="223"/>
      <c r="I230" s="219" t="s">
        <v>598</v>
      </c>
      <c r="K230" s="846"/>
      <c r="L230" s="313"/>
    </row>
    <row r="231" spans="1:12" s="230" customFormat="1" x14ac:dyDescent="0.2">
      <c r="A231" s="6" t="s">
        <v>1</v>
      </c>
      <c r="B231" s="3" t="s">
        <v>2</v>
      </c>
      <c r="C231" s="291" t="s">
        <v>3</v>
      </c>
      <c r="D231" s="292"/>
      <c r="E231" s="3" t="s">
        <v>4</v>
      </c>
      <c r="F231" s="3" t="s">
        <v>372</v>
      </c>
      <c r="G231" s="3" t="s">
        <v>306</v>
      </c>
      <c r="H231" s="51" t="s">
        <v>373</v>
      </c>
      <c r="I231" s="76" t="s">
        <v>373</v>
      </c>
      <c r="K231" s="846"/>
      <c r="L231" s="313"/>
    </row>
    <row r="232" spans="1:12" s="230" customFormat="1" x14ac:dyDescent="0.2">
      <c r="A232" s="7" t="s">
        <v>5</v>
      </c>
      <c r="B232" s="4" t="s">
        <v>6</v>
      </c>
      <c r="C232" s="293" t="s">
        <v>7</v>
      </c>
      <c r="D232" s="8" t="s">
        <v>8</v>
      </c>
      <c r="E232" s="4" t="s">
        <v>242</v>
      </c>
      <c r="F232" s="4" t="s">
        <v>374</v>
      </c>
      <c r="G232" s="4" t="s">
        <v>307</v>
      </c>
      <c r="H232" s="52" t="s">
        <v>375</v>
      </c>
      <c r="I232" s="77" t="s">
        <v>376</v>
      </c>
      <c r="K232" s="846"/>
      <c r="L232" s="313"/>
    </row>
    <row r="233" spans="1:12" s="230" customFormat="1" ht="13.5" thickBot="1" x14ac:dyDescent="0.25">
      <c r="A233" s="54" t="s">
        <v>9</v>
      </c>
      <c r="B233" s="5" t="s">
        <v>10</v>
      </c>
      <c r="C233" s="317"/>
      <c r="D233" s="16"/>
      <c r="E233" s="5" t="s">
        <v>293</v>
      </c>
      <c r="F233" s="338">
        <v>44561</v>
      </c>
      <c r="G233" s="338">
        <v>44561</v>
      </c>
      <c r="H233" s="53" t="s">
        <v>220</v>
      </c>
      <c r="I233" s="78" t="s">
        <v>220</v>
      </c>
      <c r="K233" s="846"/>
      <c r="L233" s="313"/>
    </row>
    <row r="234" spans="1:12" s="230" customFormat="1" ht="25.5" x14ac:dyDescent="0.2">
      <c r="A234" s="66" t="s">
        <v>32</v>
      </c>
      <c r="B234" s="98" t="s">
        <v>419</v>
      </c>
      <c r="C234" s="343" t="s">
        <v>574</v>
      </c>
      <c r="D234" s="50" t="s">
        <v>571</v>
      </c>
      <c r="E234" s="306">
        <v>4500</v>
      </c>
      <c r="F234" s="906">
        <v>4440</v>
      </c>
      <c r="G234" s="912">
        <v>4440</v>
      </c>
      <c r="H234" s="231">
        <f t="shared" si="50"/>
        <v>98.666666666666671</v>
      </c>
      <c r="I234" s="340">
        <f t="shared" si="51"/>
        <v>100</v>
      </c>
      <c r="K234" s="846"/>
    </row>
    <row r="235" spans="1:12" s="230" customFormat="1" ht="25.5" x14ac:dyDescent="0.2">
      <c r="A235" s="66" t="s">
        <v>32</v>
      </c>
      <c r="B235" s="98" t="s">
        <v>480</v>
      </c>
      <c r="C235" s="343" t="s">
        <v>654</v>
      </c>
      <c r="D235" s="50" t="s">
        <v>571</v>
      </c>
      <c r="E235" s="306">
        <v>7000</v>
      </c>
      <c r="F235" s="906">
        <v>6050</v>
      </c>
      <c r="G235" s="912">
        <v>6050</v>
      </c>
      <c r="H235" s="231">
        <f t="shared" si="50"/>
        <v>86.428571428571431</v>
      </c>
      <c r="I235" s="340">
        <f t="shared" si="51"/>
        <v>100</v>
      </c>
      <c r="K235" s="846"/>
    </row>
    <row r="236" spans="1:12" s="230" customFormat="1" ht="25.5" x14ac:dyDescent="0.2">
      <c r="A236" s="66" t="s">
        <v>32</v>
      </c>
      <c r="B236" s="98" t="s">
        <v>418</v>
      </c>
      <c r="C236" s="343" t="s">
        <v>575</v>
      </c>
      <c r="D236" s="50" t="s">
        <v>571</v>
      </c>
      <c r="E236" s="306">
        <v>3080</v>
      </c>
      <c r="F236" s="906">
        <v>4175</v>
      </c>
      <c r="G236" s="912">
        <v>4175</v>
      </c>
      <c r="H236" s="231">
        <f t="shared" si="50"/>
        <v>135.55194805194805</v>
      </c>
      <c r="I236" s="340">
        <f t="shared" si="51"/>
        <v>100</v>
      </c>
      <c r="K236" s="846"/>
    </row>
    <row r="237" spans="1:12" s="230" customFormat="1" ht="25.5" x14ac:dyDescent="0.2">
      <c r="A237" s="66" t="s">
        <v>32</v>
      </c>
      <c r="B237" s="344" t="s">
        <v>392</v>
      </c>
      <c r="C237" s="343" t="s">
        <v>576</v>
      </c>
      <c r="D237" s="50" t="s">
        <v>571</v>
      </c>
      <c r="E237" s="306">
        <v>0</v>
      </c>
      <c r="F237" s="920">
        <v>1330</v>
      </c>
      <c r="G237" s="921">
        <v>1330</v>
      </c>
      <c r="H237" s="212" t="s">
        <v>305</v>
      </c>
      <c r="I237" s="345">
        <f t="shared" ref="I237:I238" si="57">(G237/F237)*100</f>
        <v>100</v>
      </c>
      <c r="K237" s="846"/>
    </row>
    <row r="238" spans="1:12" s="230" customFormat="1" ht="25.5" x14ac:dyDescent="0.2">
      <c r="A238" s="66" t="s">
        <v>32</v>
      </c>
      <c r="B238" s="344" t="s">
        <v>461</v>
      </c>
      <c r="C238" s="343" t="s">
        <v>577</v>
      </c>
      <c r="D238" s="50" t="s">
        <v>571</v>
      </c>
      <c r="E238" s="306">
        <v>0</v>
      </c>
      <c r="F238" s="920">
        <v>4500</v>
      </c>
      <c r="G238" s="921">
        <v>4500</v>
      </c>
      <c r="H238" s="212" t="s">
        <v>305</v>
      </c>
      <c r="I238" s="345">
        <f t="shared" si="57"/>
        <v>100</v>
      </c>
      <c r="K238" s="846"/>
    </row>
    <row r="239" spans="1:12" s="230" customFormat="1" ht="25.5" x14ac:dyDescent="0.2">
      <c r="A239" s="66" t="s">
        <v>32</v>
      </c>
      <c r="B239" s="344" t="s">
        <v>462</v>
      </c>
      <c r="C239" s="343" t="s">
        <v>585</v>
      </c>
      <c r="D239" s="50" t="s">
        <v>571</v>
      </c>
      <c r="E239" s="306">
        <v>0</v>
      </c>
      <c r="F239" s="920">
        <v>0</v>
      </c>
      <c r="G239" s="921">
        <v>0</v>
      </c>
      <c r="H239" s="212" t="s">
        <v>305</v>
      </c>
      <c r="I239" s="851" t="s">
        <v>305</v>
      </c>
      <c r="K239" s="846"/>
    </row>
    <row r="240" spans="1:12" ht="25.5" x14ac:dyDescent="0.2">
      <c r="A240" s="310" t="s">
        <v>32</v>
      </c>
      <c r="B240" s="56" t="s">
        <v>540</v>
      </c>
      <c r="C240" s="55" t="s">
        <v>614</v>
      </c>
      <c r="D240" s="50" t="s">
        <v>571</v>
      </c>
      <c r="E240" s="922">
        <v>0</v>
      </c>
      <c r="F240" s="920">
        <v>2869.2</v>
      </c>
      <c r="G240" s="921">
        <v>2869</v>
      </c>
      <c r="H240" s="164" t="s">
        <v>305</v>
      </c>
      <c r="I240" s="288">
        <f t="shared" ref="I240:I248" si="58">(G240/F240)*100</f>
        <v>99.993029415865053</v>
      </c>
    </row>
    <row r="241" spans="1:19" ht="25.5" x14ac:dyDescent="0.2">
      <c r="A241" s="310" t="s">
        <v>32</v>
      </c>
      <c r="B241" s="56" t="s">
        <v>541</v>
      </c>
      <c r="C241" s="55" t="s">
        <v>578</v>
      </c>
      <c r="D241" s="50" t="s">
        <v>571</v>
      </c>
      <c r="E241" s="922">
        <v>0</v>
      </c>
      <c r="F241" s="920">
        <v>1876.7</v>
      </c>
      <c r="G241" s="921">
        <v>1877</v>
      </c>
      <c r="H241" s="164" t="s">
        <v>305</v>
      </c>
      <c r="I241" s="288">
        <f t="shared" si="58"/>
        <v>100.01598550647412</v>
      </c>
    </row>
    <row r="242" spans="1:19" ht="25.5" x14ac:dyDescent="0.2">
      <c r="A242" s="310" t="s">
        <v>32</v>
      </c>
      <c r="B242" s="56" t="s">
        <v>542</v>
      </c>
      <c r="C242" s="55" t="s">
        <v>584</v>
      </c>
      <c r="D242" s="50" t="s">
        <v>571</v>
      </c>
      <c r="E242" s="922">
        <v>0</v>
      </c>
      <c r="F242" s="920">
        <v>7500</v>
      </c>
      <c r="G242" s="921">
        <v>7500</v>
      </c>
      <c r="H242" s="164" t="s">
        <v>305</v>
      </c>
      <c r="I242" s="288">
        <f t="shared" si="58"/>
        <v>100</v>
      </c>
    </row>
    <row r="243" spans="1:19" ht="25.5" x14ac:dyDescent="0.2">
      <c r="A243" s="310" t="s">
        <v>32</v>
      </c>
      <c r="B243" s="56" t="s">
        <v>460</v>
      </c>
      <c r="C243" s="42" t="s">
        <v>579</v>
      </c>
      <c r="D243" s="50" t="s">
        <v>571</v>
      </c>
      <c r="E243" s="306">
        <v>0</v>
      </c>
      <c r="F243" s="920">
        <v>7399.7</v>
      </c>
      <c r="G243" s="921">
        <v>7400</v>
      </c>
      <c r="H243" s="164" t="s">
        <v>305</v>
      </c>
      <c r="I243" s="288">
        <f t="shared" si="58"/>
        <v>100.00405421841427</v>
      </c>
    </row>
    <row r="244" spans="1:19" ht="25.5" x14ac:dyDescent="0.2">
      <c r="A244" s="310" t="s">
        <v>32</v>
      </c>
      <c r="B244" s="56" t="s">
        <v>498</v>
      </c>
      <c r="C244" s="55" t="s">
        <v>580</v>
      </c>
      <c r="D244" s="50" t="s">
        <v>571</v>
      </c>
      <c r="E244" s="922">
        <v>0</v>
      </c>
      <c r="F244" s="920">
        <v>7260</v>
      </c>
      <c r="G244" s="921">
        <v>7260</v>
      </c>
      <c r="H244" s="164" t="s">
        <v>305</v>
      </c>
      <c r="I244" s="288">
        <f t="shared" si="58"/>
        <v>100</v>
      </c>
    </row>
    <row r="245" spans="1:19" ht="25.5" x14ac:dyDescent="0.2">
      <c r="A245" s="310" t="s">
        <v>32</v>
      </c>
      <c r="B245" s="56" t="s">
        <v>497</v>
      </c>
      <c r="C245" s="42" t="s">
        <v>581</v>
      </c>
      <c r="D245" s="50" t="s">
        <v>571</v>
      </c>
      <c r="E245" s="306">
        <v>0</v>
      </c>
      <c r="F245" s="906">
        <v>2400.9</v>
      </c>
      <c r="G245" s="912">
        <v>2401</v>
      </c>
      <c r="H245" s="171" t="s">
        <v>305</v>
      </c>
      <c r="I245" s="288">
        <f t="shared" si="58"/>
        <v>100.00416510475239</v>
      </c>
    </row>
    <row r="246" spans="1:19" ht="25.5" x14ac:dyDescent="0.2">
      <c r="A246" s="310" t="s">
        <v>32</v>
      </c>
      <c r="B246" s="39" t="s">
        <v>493</v>
      </c>
      <c r="C246" s="439" t="s">
        <v>582</v>
      </c>
      <c r="D246" s="50" t="s">
        <v>571</v>
      </c>
      <c r="E246" s="907">
        <v>0</v>
      </c>
      <c r="F246" s="908">
        <v>3400</v>
      </c>
      <c r="G246" s="912">
        <v>3400</v>
      </c>
      <c r="H246" s="190" t="s">
        <v>305</v>
      </c>
      <c r="I246" s="288">
        <f t="shared" si="58"/>
        <v>100</v>
      </c>
    </row>
    <row r="247" spans="1:19" ht="25.5" x14ac:dyDescent="0.2">
      <c r="A247" s="66" t="s">
        <v>32</v>
      </c>
      <c r="B247" s="67" t="s">
        <v>496</v>
      </c>
      <c r="C247" s="445" t="s">
        <v>563</v>
      </c>
      <c r="D247" s="50" t="s">
        <v>571</v>
      </c>
      <c r="E247" s="306">
        <v>0</v>
      </c>
      <c r="F247" s="906">
        <v>2498</v>
      </c>
      <c r="G247" s="912">
        <v>2498</v>
      </c>
      <c r="H247" s="202" t="s">
        <v>305</v>
      </c>
      <c r="I247" s="253">
        <f t="shared" si="58"/>
        <v>100</v>
      </c>
    </row>
    <row r="248" spans="1:19" ht="26.25" thickBot="1" x14ac:dyDescent="0.25">
      <c r="A248" s="849" t="s">
        <v>32</v>
      </c>
      <c r="B248" s="454" t="s">
        <v>648</v>
      </c>
      <c r="C248" s="850" t="s">
        <v>653</v>
      </c>
      <c r="D248" s="50" t="s">
        <v>571</v>
      </c>
      <c r="E248" s="923">
        <v>0</v>
      </c>
      <c r="F248" s="924">
        <v>883.3</v>
      </c>
      <c r="G248" s="925">
        <v>883</v>
      </c>
      <c r="H248" s="405" t="s">
        <v>305</v>
      </c>
      <c r="I248" s="253">
        <f t="shared" si="58"/>
        <v>99.96603645420582</v>
      </c>
    </row>
    <row r="249" spans="1:19" s="235" customFormat="1" ht="16.5" thickBot="1" x14ac:dyDescent="0.3">
      <c r="A249" s="333" t="s">
        <v>315</v>
      </c>
      <c r="B249" s="334"/>
      <c r="C249" s="334"/>
      <c r="D249" s="334"/>
      <c r="E249" s="421">
        <f>E178+E215+E184</f>
        <v>71093</v>
      </c>
      <c r="F249" s="440">
        <f>F178+F215+F181+F184</f>
        <v>120953.8</v>
      </c>
      <c r="G249" s="421">
        <f>G215+G181+G178+G184</f>
        <v>109498</v>
      </c>
      <c r="H249" s="416">
        <f t="shared" si="50"/>
        <v>154.02078966986906</v>
      </c>
      <c r="I249" s="417">
        <f t="shared" si="51"/>
        <v>90.528780410371553</v>
      </c>
      <c r="J249" s="229"/>
      <c r="K249" s="845"/>
      <c r="L249" s="229"/>
      <c r="M249" s="229"/>
      <c r="N249" s="229"/>
      <c r="O249" s="229"/>
      <c r="P249" s="229"/>
      <c r="Q249" s="229"/>
      <c r="R249" s="229"/>
      <c r="S249" s="229"/>
    </row>
    <row r="250" spans="1:19" s="235" customFormat="1" ht="16.5" thickBot="1" x14ac:dyDescent="0.25">
      <c r="A250" s="312"/>
      <c r="B250" s="312"/>
      <c r="C250" s="312"/>
      <c r="D250" s="312"/>
      <c r="E250" s="423"/>
      <c r="F250" s="424"/>
      <c r="G250" s="425"/>
      <c r="H250" s="426"/>
      <c r="I250" s="427"/>
      <c r="J250" s="229"/>
      <c r="K250" s="845"/>
      <c r="L250" s="229"/>
      <c r="M250" s="229"/>
      <c r="N250" s="229"/>
      <c r="O250" s="229"/>
      <c r="P250" s="229"/>
      <c r="Q250" s="229"/>
      <c r="R250" s="229"/>
      <c r="S250" s="229"/>
    </row>
    <row r="251" spans="1:19" s="235" customFormat="1" ht="16.5" thickBot="1" x14ac:dyDescent="0.3">
      <c r="A251" s="333" t="s">
        <v>380</v>
      </c>
      <c r="B251" s="334"/>
      <c r="C251" s="334"/>
      <c r="D251" s="334"/>
      <c r="E251" s="422">
        <f>E249+E171</f>
        <v>231165</v>
      </c>
      <c r="F251" s="440">
        <f>F249+F171</f>
        <v>385237.8</v>
      </c>
      <c r="G251" s="422">
        <f>G249+G171</f>
        <v>346607</v>
      </c>
      <c r="H251" s="416">
        <f t="shared" si="50"/>
        <v>149.93922090281833</v>
      </c>
      <c r="I251" s="417">
        <f t="shared" si="51"/>
        <v>89.972219756212922</v>
      </c>
      <c r="J251" s="229"/>
      <c r="K251" s="845"/>
      <c r="L251" s="229"/>
      <c r="M251" s="229"/>
      <c r="N251" s="229"/>
      <c r="O251" s="229"/>
      <c r="P251" s="229"/>
      <c r="Q251" s="229"/>
      <c r="R251" s="229"/>
      <c r="S251" s="229"/>
    </row>
    <row r="252" spans="1:19" s="230" customFormat="1" x14ac:dyDescent="0.2">
      <c r="A252" s="237"/>
      <c r="B252" s="237"/>
      <c r="C252" s="237"/>
      <c r="D252" s="237"/>
      <c r="F252" s="313"/>
      <c r="K252" s="846"/>
    </row>
    <row r="253" spans="1:19" s="230" customFormat="1" x14ac:dyDescent="0.2">
      <c r="A253" s="237"/>
      <c r="B253" s="237"/>
      <c r="C253" s="237"/>
      <c r="D253" s="237"/>
      <c r="F253" s="313"/>
      <c r="K253" s="846"/>
    </row>
    <row r="254" spans="1:19" s="230" customFormat="1" x14ac:dyDescent="0.2">
      <c r="E254" s="244"/>
      <c r="K254" s="846"/>
    </row>
    <row r="255" spans="1:19" s="230" customFormat="1" x14ac:dyDescent="0.2">
      <c r="K255" s="846"/>
    </row>
    <row r="256" spans="1:19" s="230" customFormat="1" x14ac:dyDescent="0.2">
      <c r="K256" s="846"/>
    </row>
    <row r="257" spans="11:11" s="230" customFormat="1" x14ac:dyDescent="0.2">
      <c r="K257" s="846"/>
    </row>
    <row r="258" spans="11:11" s="230" customFormat="1" x14ac:dyDescent="0.2">
      <c r="K258" s="846"/>
    </row>
    <row r="259" spans="11:11" s="230" customFormat="1" x14ac:dyDescent="0.2">
      <c r="K259" s="846"/>
    </row>
    <row r="260" spans="11:11" s="230" customFormat="1" x14ac:dyDescent="0.2">
      <c r="K260" s="846"/>
    </row>
    <row r="261" spans="11:11" s="230" customFormat="1" x14ac:dyDescent="0.2">
      <c r="K261" s="846"/>
    </row>
    <row r="262" spans="11:11" s="230" customFormat="1" x14ac:dyDescent="0.2">
      <c r="K262" s="846"/>
    </row>
    <row r="263" spans="11:11" s="230" customFormat="1" x14ac:dyDescent="0.2">
      <c r="K263" s="846"/>
    </row>
    <row r="264" spans="11:11" s="230" customFormat="1" x14ac:dyDescent="0.2">
      <c r="K264" s="846"/>
    </row>
    <row r="265" spans="11:11" s="230" customFormat="1" x14ac:dyDescent="0.2">
      <c r="K265" s="846"/>
    </row>
    <row r="266" spans="11:11" s="230" customFormat="1" x14ac:dyDescent="0.2">
      <c r="K266" s="846"/>
    </row>
    <row r="267" spans="11:11" s="230" customFormat="1" x14ac:dyDescent="0.2">
      <c r="K267" s="846"/>
    </row>
    <row r="268" spans="11:11" s="230" customFormat="1" ht="21.95" customHeight="1" x14ac:dyDescent="0.2">
      <c r="K268" s="846"/>
    </row>
    <row r="269" spans="11:11" s="230" customFormat="1" ht="21.95" customHeight="1" x14ac:dyDescent="0.2">
      <c r="K269" s="846"/>
    </row>
    <row r="270" spans="11:11" s="230" customFormat="1" ht="21.95" customHeight="1" x14ac:dyDescent="0.2">
      <c r="K270" s="846"/>
    </row>
    <row r="271" spans="11:11" s="230" customFormat="1" ht="21.95" customHeight="1" x14ac:dyDescent="0.2">
      <c r="K271" s="846"/>
    </row>
    <row r="272" spans="11:11" s="230" customFormat="1" ht="21.95" customHeight="1" x14ac:dyDescent="0.2">
      <c r="K272" s="846"/>
    </row>
    <row r="273" spans="11:11" s="230" customFormat="1" ht="21.95" customHeight="1" x14ac:dyDescent="0.2">
      <c r="K273" s="846"/>
    </row>
    <row r="274" spans="11:11" s="230" customFormat="1" ht="21.95" customHeight="1" x14ac:dyDescent="0.2">
      <c r="K274" s="846"/>
    </row>
    <row r="275" spans="11:11" s="230" customFormat="1" ht="21.95" customHeight="1" x14ac:dyDescent="0.2">
      <c r="K275" s="846"/>
    </row>
    <row r="276" spans="11:11" s="230" customFormat="1" ht="21.95" customHeight="1" x14ac:dyDescent="0.2">
      <c r="K276" s="846"/>
    </row>
    <row r="277" spans="11:11" s="230" customFormat="1" ht="21.95" customHeight="1" x14ac:dyDescent="0.2">
      <c r="K277" s="846"/>
    </row>
    <row r="278" spans="11:11" s="230" customFormat="1" ht="21.95" customHeight="1" x14ac:dyDescent="0.2">
      <c r="K278" s="846"/>
    </row>
    <row r="279" spans="11:11" s="230" customFormat="1" ht="21.95" customHeight="1" x14ac:dyDescent="0.2">
      <c r="K279" s="846"/>
    </row>
    <row r="280" spans="11:11" s="230" customFormat="1" ht="21.95" customHeight="1" x14ac:dyDescent="0.2">
      <c r="K280" s="846"/>
    </row>
    <row r="281" spans="11:11" s="230" customFormat="1" ht="21.95" customHeight="1" x14ac:dyDescent="0.2">
      <c r="K281" s="846"/>
    </row>
    <row r="282" spans="11:11" s="230" customFormat="1" ht="21.95" customHeight="1" x14ac:dyDescent="0.2">
      <c r="K282" s="846"/>
    </row>
    <row r="283" spans="11:11" s="230" customFormat="1" ht="21.95" customHeight="1" x14ac:dyDescent="0.2">
      <c r="K283" s="846"/>
    </row>
    <row r="284" spans="11:11" s="230" customFormat="1" ht="21.95" customHeight="1" x14ac:dyDescent="0.2">
      <c r="K284" s="846"/>
    </row>
    <row r="285" spans="11:11" s="230" customFormat="1" ht="21.95" customHeight="1" x14ac:dyDescent="0.2">
      <c r="K285" s="846"/>
    </row>
    <row r="286" spans="11:11" s="230" customFormat="1" ht="21.95" customHeight="1" x14ac:dyDescent="0.2">
      <c r="K286" s="846"/>
    </row>
    <row r="287" spans="11:11" s="230" customFormat="1" ht="21.95" customHeight="1" x14ac:dyDescent="0.2">
      <c r="K287" s="846"/>
    </row>
    <row r="288" spans="11:11" s="230" customFormat="1" ht="21.95" customHeight="1" x14ac:dyDescent="0.2">
      <c r="K288" s="846"/>
    </row>
    <row r="289" spans="11:11" s="230" customFormat="1" ht="21.95" customHeight="1" x14ac:dyDescent="0.2">
      <c r="K289" s="846"/>
    </row>
    <row r="290" spans="11:11" s="230" customFormat="1" ht="21.95" customHeight="1" x14ac:dyDescent="0.2">
      <c r="K290" s="846"/>
    </row>
    <row r="291" spans="11:11" s="230" customFormat="1" ht="21.95" customHeight="1" x14ac:dyDescent="0.2">
      <c r="K291" s="846"/>
    </row>
    <row r="292" spans="11:11" s="230" customFormat="1" ht="21.95" customHeight="1" x14ac:dyDescent="0.2">
      <c r="K292" s="846"/>
    </row>
    <row r="293" spans="11:11" s="230" customFormat="1" ht="21.95" customHeight="1" x14ac:dyDescent="0.2">
      <c r="K293" s="846"/>
    </row>
    <row r="294" spans="11:11" s="230" customFormat="1" ht="21.95" customHeight="1" x14ac:dyDescent="0.2">
      <c r="K294" s="846"/>
    </row>
    <row r="295" spans="11:11" s="230" customFormat="1" ht="27" customHeight="1" x14ac:dyDescent="0.2">
      <c r="K295" s="846"/>
    </row>
    <row r="296" spans="11:11" s="230" customFormat="1" ht="15" customHeight="1" x14ac:dyDescent="0.2">
      <c r="K296" s="846"/>
    </row>
    <row r="297" spans="11:11" s="230" customFormat="1" ht="15" customHeight="1" x14ac:dyDescent="0.2">
      <c r="K297" s="846"/>
    </row>
    <row r="298" spans="11:11" s="230" customFormat="1" ht="15" customHeight="1" x14ac:dyDescent="0.2">
      <c r="K298" s="846"/>
    </row>
    <row r="299" spans="11:11" s="230" customFormat="1" x14ac:dyDescent="0.2">
      <c r="K299" s="846"/>
    </row>
    <row r="300" spans="11:11" s="230" customFormat="1" x14ac:dyDescent="0.2">
      <c r="K300" s="846"/>
    </row>
    <row r="301" spans="11:11" s="230" customFormat="1" x14ac:dyDescent="0.2">
      <c r="K301" s="846"/>
    </row>
    <row r="302" spans="11:11" s="230" customFormat="1" x14ac:dyDescent="0.2">
      <c r="K302" s="846"/>
    </row>
    <row r="303" spans="11:11" s="230" customFormat="1" x14ac:dyDescent="0.2">
      <c r="K303" s="846"/>
    </row>
    <row r="304" spans="11:11" s="230" customFormat="1" x14ac:dyDescent="0.2">
      <c r="K304" s="846"/>
    </row>
    <row r="305" spans="11:11" s="230" customFormat="1" x14ac:dyDescent="0.2">
      <c r="K305" s="846"/>
    </row>
    <row r="306" spans="11:11" s="230" customFormat="1" x14ac:dyDescent="0.2">
      <c r="K306" s="846"/>
    </row>
    <row r="307" spans="11:11" s="230" customFormat="1" x14ac:dyDescent="0.2">
      <c r="K307" s="846"/>
    </row>
    <row r="308" spans="11:11" s="230" customFormat="1" x14ac:dyDescent="0.2">
      <c r="K308" s="846"/>
    </row>
    <row r="309" spans="11:11" s="230" customFormat="1" x14ac:dyDescent="0.2">
      <c r="K309" s="846"/>
    </row>
    <row r="310" spans="11:11" s="230" customFormat="1" x14ac:dyDescent="0.2">
      <c r="K310" s="846"/>
    </row>
    <row r="311" spans="11:11" s="230" customFormat="1" x14ac:dyDescent="0.2">
      <c r="K311" s="846"/>
    </row>
    <row r="312" spans="11:11" s="230" customFormat="1" x14ac:dyDescent="0.2">
      <c r="K312" s="846"/>
    </row>
    <row r="313" spans="11:11" s="230" customFormat="1" x14ac:dyDescent="0.2">
      <c r="K313" s="846"/>
    </row>
    <row r="314" spans="11:11" s="230" customFormat="1" x14ac:dyDescent="0.2">
      <c r="K314" s="846"/>
    </row>
    <row r="315" spans="11:11" s="230" customFormat="1" x14ac:dyDescent="0.2">
      <c r="K315" s="846"/>
    </row>
    <row r="316" spans="11:11" s="230" customFormat="1" x14ac:dyDescent="0.2">
      <c r="K316" s="846"/>
    </row>
    <row r="317" spans="11:11" s="230" customFormat="1" x14ac:dyDescent="0.2">
      <c r="K317" s="846"/>
    </row>
    <row r="318" spans="11:11" s="230" customFormat="1" x14ac:dyDescent="0.2">
      <c r="K318" s="846"/>
    </row>
    <row r="319" spans="11:11" s="230" customFormat="1" x14ac:dyDescent="0.2">
      <c r="K319" s="846"/>
    </row>
    <row r="320" spans="11:11" s="230" customFormat="1" x14ac:dyDescent="0.2">
      <c r="K320" s="846"/>
    </row>
    <row r="321" spans="11:11" s="230" customFormat="1" x14ac:dyDescent="0.2">
      <c r="K321" s="846"/>
    </row>
    <row r="322" spans="11:11" s="230" customFormat="1" x14ac:dyDescent="0.2">
      <c r="K322" s="846"/>
    </row>
    <row r="323" spans="11:11" s="230" customFormat="1" x14ac:dyDescent="0.2">
      <c r="K323" s="846"/>
    </row>
    <row r="324" spans="11:11" s="230" customFormat="1" x14ac:dyDescent="0.2">
      <c r="K324" s="846"/>
    </row>
    <row r="325" spans="11:11" s="230" customFormat="1" x14ac:dyDescent="0.2">
      <c r="K325" s="846"/>
    </row>
    <row r="326" spans="11:11" s="230" customFormat="1" x14ac:dyDescent="0.2">
      <c r="K326" s="846"/>
    </row>
    <row r="327" spans="11:11" s="230" customFormat="1" x14ac:dyDescent="0.2">
      <c r="K327" s="846"/>
    </row>
    <row r="328" spans="11:11" s="230" customFormat="1" x14ac:dyDescent="0.2">
      <c r="K328" s="846"/>
    </row>
    <row r="329" spans="11:11" s="230" customFormat="1" x14ac:dyDescent="0.2">
      <c r="K329" s="846"/>
    </row>
    <row r="330" spans="11:11" s="230" customFormat="1" x14ac:dyDescent="0.2">
      <c r="K330" s="846"/>
    </row>
    <row r="331" spans="11:11" s="230" customFormat="1" x14ac:dyDescent="0.2">
      <c r="K331" s="846"/>
    </row>
    <row r="332" spans="11:11" s="230" customFormat="1" x14ac:dyDescent="0.2">
      <c r="K332" s="846"/>
    </row>
    <row r="333" spans="11:11" s="230" customFormat="1" x14ac:dyDescent="0.2">
      <c r="K333" s="846"/>
    </row>
    <row r="334" spans="11:11" s="230" customFormat="1" x14ac:dyDescent="0.2">
      <c r="K334" s="846"/>
    </row>
    <row r="335" spans="11:11" s="230" customFormat="1" x14ac:dyDescent="0.2">
      <c r="K335" s="846"/>
    </row>
    <row r="336" spans="11:11" s="230" customFormat="1" x14ac:dyDescent="0.2">
      <c r="K336" s="846"/>
    </row>
    <row r="337" spans="11:11" s="230" customFormat="1" x14ac:dyDescent="0.2">
      <c r="K337" s="846"/>
    </row>
    <row r="338" spans="11:11" s="230" customFormat="1" x14ac:dyDescent="0.2">
      <c r="K338" s="846"/>
    </row>
    <row r="339" spans="11:11" s="230" customFormat="1" x14ac:dyDescent="0.2">
      <c r="K339" s="846"/>
    </row>
    <row r="340" spans="11:11" s="230" customFormat="1" x14ac:dyDescent="0.2">
      <c r="K340" s="846"/>
    </row>
    <row r="341" spans="11:11" s="230" customFormat="1" x14ac:dyDescent="0.2">
      <c r="K341" s="846"/>
    </row>
    <row r="342" spans="11:11" s="230" customFormat="1" x14ac:dyDescent="0.2">
      <c r="K342" s="846"/>
    </row>
    <row r="343" spans="11:11" s="230" customFormat="1" x14ac:dyDescent="0.2">
      <c r="K343" s="846"/>
    </row>
    <row r="344" spans="11:11" s="230" customFormat="1" x14ac:dyDescent="0.2">
      <c r="K344" s="846"/>
    </row>
    <row r="345" spans="11:11" s="230" customFormat="1" x14ac:dyDescent="0.2">
      <c r="K345" s="846"/>
    </row>
    <row r="346" spans="11:11" s="230" customFormat="1" x14ac:dyDescent="0.2">
      <c r="K346" s="846"/>
    </row>
    <row r="347" spans="11:11" s="230" customFormat="1" x14ac:dyDescent="0.2">
      <c r="K347" s="846"/>
    </row>
    <row r="348" spans="11:11" s="230" customFormat="1" x14ac:dyDescent="0.2">
      <c r="K348" s="846"/>
    </row>
    <row r="349" spans="11:11" s="230" customFormat="1" x14ac:dyDescent="0.2">
      <c r="K349" s="846"/>
    </row>
    <row r="350" spans="11:11" s="230" customFormat="1" x14ac:dyDescent="0.2">
      <c r="K350" s="846"/>
    </row>
    <row r="351" spans="11:11" s="230" customFormat="1" x14ac:dyDescent="0.2">
      <c r="K351" s="846"/>
    </row>
    <row r="352" spans="11:11" s="230" customFormat="1" x14ac:dyDescent="0.2">
      <c r="K352" s="846"/>
    </row>
    <row r="353" spans="11:11" s="230" customFormat="1" x14ac:dyDescent="0.2">
      <c r="K353" s="846"/>
    </row>
    <row r="354" spans="11:11" s="230" customFormat="1" x14ac:dyDescent="0.2">
      <c r="K354" s="846"/>
    </row>
    <row r="355" spans="11:11" s="230" customFormat="1" x14ac:dyDescent="0.2">
      <c r="K355" s="846"/>
    </row>
    <row r="356" spans="11:11" s="230" customFormat="1" x14ac:dyDescent="0.2">
      <c r="K356" s="846"/>
    </row>
    <row r="357" spans="11:11" s="230" customFormat="1" x14ac:dyDescent="0.2">
      <c r="K357" s="846"/>
    </row>
    <row r="358" spans="11:11" s="230" customFormat="1" x14ac:dyDescent="0.2">
      <c r="K358" s="846"/>
    </row>
    <row r="359" spans="11:11" s="230" customFormat="1" x14ac:dyDescent="0.2">
      <c r="K359" s="846"/>
    </row>
    <row r="360" spans="11:11" s="230" customFormat="1" x14ac:dyDescent="0.2">
      <c r="K360" s="846"/>
    </row>
    <row r="361" spans="11:11" s="230" customFormat="1" x14ac:dyDescent="0.2">
      <c r="K361" s="846"/>
    </row>
    <row r="362" spans="11:11" s="230" customFormat="1" x14ac:dyDescent="0.2">
      <c r="K362" s="846"/>
    </row>
    <row r="363" spans="11:11" s="230" customFormat="1" x14ac:dyDescent="0.2">
      <c r="K363" s="846"/>
    </row>
    <row r="364" spans="11:11" s="230" customFormat="1" x14ac:dyDescent="0.2">
      <c r="K364" s="846"/>
    </row>
    <row r="365" spans="11:11" s="230" customFormat="1" x14ac:dyDescent="0.2">
      <c r="K365" s="846"/>
    </row>
    <row r="366" spans="11:11" s="230" customFormat="1" x14ac:dyDescent="0.2">
      <c r="K366" s="846"/>
    </row>
    <row r="367" spans="11:11" s="230" customFormat="1" x14ac:dyDescent="0.2">
      <c r="K367" s="846"/>
    </row>
    <row r="368" spans="11:11" s="230" customFormat="1" x14ac:dyDescent="0.2">
      <c r="K368" s="846"/>
    </row>
    <row r="369" spans="11:11" s="230" customFormat="1" x14ac:dyDescent="0.2">
      <c r="K369" s="846"/>
    </row>
    <row r="370" spans="11:11" s="230" customFormat="1" x14ac:dyDescent="0.2">
      <c r="K370" s="846"/>
    </row>
    <row r="371" spans="11:11" s="230" customFormat="1" x14ac:dyDescent="0.2">
      <c r="K371" s="846"/>
    </row>
    <row r="372" spans="11:11" s="230" customFormat="1" x14ac:dyDescent="0.2">
      <c r="K372" s="846"/>
    </row>
    <row r="373" spans="11:11" s="230" customFormat="1" x14ac:dyDescent="0.2">
      <c r="K373" s="846"/>
    </row>
    <row r="374" spans="11:11" s="230" customFormat="1" x14ac:dyDescent="0.2">
      <c r="K374" s="846"/>
    </row>
    <row r="375" spans="11:11" s="230" customFormat="1" x14ac:dyDescent="0.2">
      <c r="K375" s="846"/>
    </row>
    <row r="376" spans="11:11" s="230" customFormat="1" x14ac:dyDescent="0.2">
      <c r="K376" s="846"/>
    </row>
    <row r="377" spans="11:11" s="230" customFormat="1" x14ac:dyDescent="0.2">
      <c r="K377" s="846"/>
    </row>
    <row r="378" spans="11:11" s="230" customFormat="1" x14ac:dyDescent="0.2">
      <c r="K378" s="846"/>
    </row>
    <row r="379" spans="11:11" s="230" customFormat="1" x14ac:dyDescent="0.2">
      <c r="K379" s="846"/>
    </row>
    <row r="380" spans="11:11" s="230" customFormat="1" x14ac:dyDescent="0.2">
      <c r="K380" s="846"/>
    </row>
    <row r="381" spans="11:11" s="230" customFormat="1" x14ac:dyDescent="0.2">
      <c r="K381" s="846"/>
    </row>
    <row r="382" spans="11:11" s="230" customFormat="1" x14ac:dyDescent="0.2">
      <c r="K382" s="846"/>
    </row>
    <row r="383" spans="11:11" s="230" customFormat="1" x14ac:dyDescent="0.2">
      <c r="K383" s="846"/>
    </row>
    <row r="384" spans="11:11" s="230" customFormat="1" x14ac:dyDescent="0.2">
      <c r="K384" s="846"/>
    </row>
    <row r="385" spans="11:11" s="230" customFormat="1" x14ac:dyDescent="0.2">
      <c r="K385" s="846"/>
    </row>
    <row r="386" spans="11:11" s="230" customFormat="1" x14ac:dyDescent="0.2">
      <c r="K386" s="846"/>
    </row>
    <row r="387" spans="11:11" s="230" customFormat="1" x14ac:dyDescent="0.2">
      <c r="K387" s="846"/>
    </row>
    <row r="388" spans="11:11" s="230" customFormat="1" x14ac:dyDescent="0.2">
      <c r="K388" s="846"/>
    </row>
    <row r="389" spans="11:11" s="230" customFormat="1" x14ac:dyDescent="0.2">
      <c r="K389" s="846"/>
    </row>
    <row r="390" spans="11:11" s="230" customFormat="1" x14ac:dyDescent="0.2">
      <c r="K390" s="846"/>
    </row>
    <row r="391" spans="11:11" s="230" customFormat="1" x14ac:dyDescent="0.2">
      <c r="K391" s="846"/>
    </row>
    <row r="392" spans="11:11" s="230" customFormat="1" x14ac:dyDescent="0.2">
      <c r="K392" s="846"/>
    </row>
    <row r="393" spans="11:11" s="230" customFormat="1" x14ac:dyDescent="0.2">
      <c r="K393" s="846"/>
    </row>
    <row r="394" spans="11:11" s="230" customFormat="1" x14ac:dyDescent="0.2">
      <c r="K394" s="846"/>
    </row>
    <row r="395" spans="11:11" s="230" customFormat="1" x14ac:dyDescent="0.2">
      <c r="K395" s="846"/>
    </row>
    <row r="396" spans="11:11" s="230" customFormat="1" x14ac:dyDescent="0.2">
      <c r="K396" s="846"/>
    </row>
    <row r="397" spans="11:11" s="230" customFormat="1" x14ac:dyDescent="0.2">
      <c r="K397" s="846"/>
    </row>
    <row r="398" spans="11:11" s="230" customFormat="1" x14ac:dyDescent="0.2">
      <c r="K398" s="846"/>
    </row>
    <row r="399" spans="11:11" s="230" customFormat="1" x14ac:dyDescent="0.2">
      <c r="K399" s="846"/>
    </row>
    <row r="400" spans="11:11" s="230" customFormat="1" x14ac:dyDescent="0.2">
      <c r="K400" s="846"/>
    </row>
    <row r="401" spans="11:11" s="230" customFormat="1" x14ac:dyDescent="0.2">
      <c r="K401" s="846"/>
    </row>
    <row r="402" spans="11:11" s="230" customFormat="1" x14ac:dyDescent="0.2">
      <c r="K402" s="846"/>
    </row>
    <row r="403" spans="11:11" s="230" customFormat="1" x14ac:dyDescent="0.2">
      <c r="K403" s="846"/>
    </row>
    <row r="404" spans="11:11" s="230" customFormat="1" x14ac:dyDescent="0.2">
      <c r="K404" s="846"/>
    </row>
    <row r="405" spans="11:11" s="230" customFormat="1" x14ac:dyDescent="0.2">
      <c r="K405" s="846"/>
    </row>
    <row r="406" spans="11:11" s="230" customFormat="1" x14ac:dyDescent="0.2">
      <c r="K406" s="846"/>
    </row>
    <row r="407" spans="11:11" s="230" customFormat="1" x14ac:dyDescent="0.2">
      <c r="K407" s="846"/>
    </row>
    <row r="408" spans="11:11" s="230" customFormat="1" x14ac:dyDescent="0.2">
      <c r="K408" s="846"/>
    </row>
    <row r="409" spans="11:11" s="230" customFormat="1" x14ac:dyDescent="0.2">
      <c r="K409" s="846"/>
    </row>
    <row r="410" spans="11:11" s="230" customFormat="1" x14ac:dyDescent="0.2">
      <c r="K410" s="846"/>
    </row>
    <row r="411" spans="11:11" s="230" customFormat="1" x14ac:dyDescent="0.2">
      <c r="K411" s="846"/>
    </row>
    <row r="412" spans="11:11" s="230" customFormat="1" x14ac:dyDescent="0.2">
      <c r="K412" s="846"/>
    </row>
    <row r="413" spans="11:11" s="230" customFormat="1" x14ac:dyDescent="0.2">
      <c r="K413" s="846"/>
    </row>
    <row r="414" spans="11:11" s="230" customFormat="1" x14ac:dyDescent="0.2">
      <c r="K414" s="846"/>
    </row>
    <row r="415" spans="11:11" s="230" customFormat="1" x14ac:dyDescent="0.2">
      <c r="K415" s="846"/>
    </row>
    <row r="416" spans="11:11" s="230" customFormat="1" x14ac:dyDescent="0.2">
      <c r="K416" s="846"/>
    </row>
    <row r="417" spans="11:11" s="230" customFormat="1" x14ac:dyDescent="0.2">
      <c r="K417" s="846"/>
    </row>
    <row r="418" spans="11:11" s="230" customFormat="1" x14ac:dyDescent="0.2">
      <c r="K418" s="846"/>
    </row>
    <row r="419" spans="11:11" s="230" customFormat="1" x14ac:dyDescent="0.2">
      <c r="K419" s="846"/>
    </row>
    <row r="420" spans="11:11" s="230" customFormat="1" x14ac:dyDescent="0.2">
      <c r="K420" s="846"/>
    </row>
    <row r="421" spans="11:11" s="230" customFormat="1" x14ac:dyDescent="0.2">
      <c r="K421" s="846"/>
    </row>
    <row r="422" spans="11:11" s="230" customFormat="1" x14ac:dyDescent="0.2">
      <c r="K422" s="846"/>
    </row>
    <row r="423" spans="11:11" s="230" customFormat="1" x14ac:dyDescent="0.2">
      <c r="K423" s="846"/>
    </row>
    <row r="424" spans="11:11" s="230" customFormat="1" x14ac:dyDescent="0.2">
      <c r="K424" s="846"/>
    </row>
    <row r="425" spans="11:11" s="230" customFormat="1" x14ac:dyDescent="0.2">
      <c r="K425" s="846"/>
    </row>
    <row r="426" spans="11:11" s="230" customFormat="1" x14ac:dyDescent="0.2">
      <c r="K426" s="846"/>
    </row>
    <row r="427" spans="11:11" s="230" customFormat="1" x14ac:dyDescent="0.2">
      <c r="K427" s="846"/>
    </row>
    <row r="428" spans="11:11" s="230" customFormat="1" x14ac:dyDescent="0.2">
      <c r="K428" s="846"/>
    </row>
    <row r="429" spans="11:11" s="230" customFormat="1" x14ac:dyDescent="0.2">
      <c r="K429" s="846"/>
    </row>
    <row r="430" spans="11:11" s="230" customFormat="1" x14ac:dyDescent="0.2">
      <c r="K430" s="846"/>
    </row>
    <row r="431" spans="11:11" s="230" customFormat="1" x14ac:dyDescent="0.2">
      <c r="K431" s="846"/>
    </row>
    <row r="432" spans="11:11" s="230" customFormat="1" x14ac:dyDescent="0.2">
      <c r="K432" s="846"/>
    </row>
    <row r="433" spans="11:11" s="230" customFormat="1" x14ac:dyDescent="0.2">
      <c r="K433" s="846"/>
    </row>
    <row r="434" spans="11:11" s="230" customFormat="1" x14ac:dyDescent="0.2">
      <c r="K434" s="846"/>
    </row>
    <row r="435" spans="11:11" s="230" customFormat="1" x14ac:dyDescent="0.2">
      <c r="K435" s="846"/>
    </row>
    <row r="436" spans="11:11" s="230" customFormat="1" x14ac:dyDescent="0.2">
      <c r="K436" s="846"/>
    </row>
    <row r="437" spans="11:11" s="230" customFormat="1" x14ac:dyDescent="0.2">
      <c r="K437" s="846"/>
    </row>
    <row r="438" spans="11:11" s="230" customFormat="1" x14ac:dyDescent="0.2">
      <c r="K438" s="846"/>
    </row>
    <row r="439" spans="11:11" s="230" customFormat="1" x14ac:dyDescent="0.2">
      <c r="K439" s="846"/>
    </row>
    <row r="440" spans="11:11" s="230" customFormat="1" x14ac:dyDescent="0.2">
      <c r="K440" s="846"/>
    </row>
    <row r="441" spans="11:11" s="230" customFormat="1" x14ac:dyDescent="0.2">
      <c r="K441" s="846"/>
    </row>
    <row r="442" spans="11:11" s="230" customFormat="1" x14ac:dyDescent="0.2">
      <c r="K442" s="846"/>
    </row>
    <row r="443" spans="11:11" s="230" customFormat="1" x14ac:dyDescent="0.2">
      <c r="K443" s="846"/>
    </row>
    <row r="444" spans="11:11" s="230" customFormat="1" x14ac:dyDescent="0.2">
      <c r="K444" s="846"/>
    </row>
    <row r="445" spans="11:11" s="230" customFormat="1" x14ac:dyDescent="0.2">
      <c r="K445" s="846"/>
    </row>
    <row r="446" spans="11:11" s="230" customFormat="1" x14ac:dyDescent="0.2">
      <c r="K446" s="846"/>
    </row>
    <row r="447" spans="11:11" s="230" customFormat="1" x14ac:dyDescent="0.2">
      <c r="K447" s="846"/>
    </row>
    <row r="448" spans="11:11" s="230" customFormat="1" x14ac:dyDescent="0.2">
      <c r="K448" s="846"/>
    </row>
    <row r="449" spans="11:11" s="230" customFormat="1" x14ac:dyDescent="0.2">
      <c r="K449" s="846"/>
    </row>
    <row r="450" spans="11:11" s="230" customFormat="1" x14ac:dyDescent="0.2">
      <c r="K450" s="846"/>
    </row>
    <row r="451" spans="11:11" s="230" customFormat="1" x14ac:dyDescent="0.2">
      <c r="K451" s="846"/>
    </row>
    <row r="452" spans="11:11" s="230" customFormat="1" x14ac:dyDescent="0.2">
      <c r="K452" s="846"/>
    </row>
    <row r="453" spans="11:11" s="230" customFormat="1" x14ac:dyDescent="0.2">
      <c r="K453" s="846"/>
    </row>
    <row r="454" spans="11:11" s="230" customFormat="1" x14ac:dyDescent="0.2">
      <c r="K454" s="846"/>
    </row>
    <row r="455" spans="11:11" s="230" customFormat="1" x14ac:dyDescent="0.2">
      <c r="K455" s="846"/>
    </row>
    <row r="456" spans="11:11" s="230" customFormat="1" x14ac:dyDescent="0.2">
      <c r="K456" s="846"/>
    </row>
    <row r="457" spans="11:11" s="230" customFormat="1" x14ac:dyDescent="0.2">
      <c r="K457" s="846"/>
    </row>
    <row r="458" spans="11:11" s="230" customFormat="1" x14ac:dyDescent="0.2">
      <c r="K458" s="846"/>
    </row>
    <row r="459" spans="11:11" s="230" customFormat="1" x14ac:dyDescent="0.2">
      <c r="K459" s="846"/>
    </row>
    <row r="460" spans="11:11" s="230" customFormat="1" x14ac:dyDescent="0.2">
      <c r="K460" s="846"/>
    </row>
    <row r="461" spans="11:11" s="230" customFormat="1" x14ac:dyDescent="0.2">
      <c r="K461" s="846"/>
    </row>
    <row r="462" spans="11:11" s="230" customFormat="1" x14ac:dyDescent="0.2">
      <c r="K462" s="846"/>
    </row>
    <row r="463" spans="11:11" s="230" customFormat="1" x14ac:dyDescent="0.2">
      <c r="K463" s="846"/>
    </row>
    <row r="464" spans="11:11" s="230" customFormat="1" x14ac:dyDescent="0.2">
      <c r="K464" s="846"/>
    </row>
  </sheetData>
  <mergeCells count="5">
    <mergeCell ref="B178:C178"/>
    <mergeCell ref="B164:C164"/>
    <mergeCell ref="I158:I159"/>
    <mergeCell ref="H158:H159"/>
    <mergeCell ref="L6:M7"/>
  </mergeCells>
  <pageMargins left="0.23622047244094491" right="0.23622047244094491" top="0.35433070866141736" bottom="0.35433070866141736" header="0.31496062992125984" footer="0.31496062992125984"/>
  <pageSetup paperSize="9" scale="81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2:J77"/>
  <sheetViews>
    <sheetView zoomScaleNormal="100" workbookViewId="0">
      <selection activeCell="C46" sqref="C46"/>
    </sheetView>
  </sheetViews>
  <sheetFormatPr defaultColWidth="9.140625" defaultRowHeight="12.75" x14ac:dyDescent="0.2"/>
  <cols>
    <col min="1" max="1" width="10.85546875" style="315" customWidth="1"/>
    <col min="2" max="2" width="12.7109375" style="315" customWidth="1"/>
    <col min="3" max="3" width="42.140625" style="315" customWidth="1"/>
    <col min="4" max="4" width="48.140625" style="315" customWidth="1"/>
    <col min="5" max="5" width="13.140625" style="315" customWidth="1"/>
    <col min="6" max="6" width="17.140625" style="315" customWidth="1"/>
    <col min="7" max="7" width="13.140625" style="315" customWidth="1"/>
    <col min="8" max="9" width="11.7109375" style="315" customWidth="1"/>
    <col min="10" max="16384" width="9.140625" style="315"/>
  </cols>
  <sheetData>
    <row r="2" spans="1:10" s="314" customFormat="1" ht="15.75" x14ac:dyDescent="0.25">
      <c r="A2" s="749" t="s">
        <v>106</v>
      </c>
      <c r="B2" s="486"/>
      <c r="C2" s="749"/>
      <c r="D2" s="749"/>
      <c r="E2" s="486"/>
      <c r="F2" s="486"/>
      <c r="G2" s="486"/>
      <c r="H2" s="486"/>
      <c r="I2" s="486"/>
      <c r="J2" s="486"/>
    </row>
    <row r="3" spans="1:10" ht="13.5" thickBot="1" x14ac:dyDescent="0.25">
      <c r="A3" s="477"/>
      <c r="B3" s="477"/>
      <c r="C3" s="477"/>
      <c r="D3" s="477"/>
      <c r="E3" s="477"/>
      <c r="F3" s="477"/>
      <c r="G3" s="477"/>
      <c r="H3" s="477"/>
      <c r="I3" s="739" t="s">
        <v>597</v>
      </c>
      <c r="J3" s="477"/>
    </row>
    <row r="4" spans="1:10" s="230" customFormat="1" ht="15" customHeight="1" x14ac:dyDescent="0.2">
      <c r="A4" s="600" t="s">
        <v>1</v>
      </c>
      <c r="B4" s="51" t="s">
        <v>2</v>
      </c>
      <c r="C4" s="550" t="s">
        <v>3</v>
      </c>
      <c r="D4" s="51"/>
      <c r="E4" s="51" t="s">
        <v>4</v>
      </c>
      <c r="F4" s="51" t="s">
        <v>372</v>
      </c>
      <c r="G4" s="69" t="s">
        <v>306</v>
      </c>
      <c r="H4" s="51" t="s">
        <v>373</v>
      </c>
      <c r="I4" s="76" t="s">
        <v>373</v>
      </c>
      <c r="J4" s="477"/>
    </row>
    <row r="5" spans="1:10" s="230" customFormat="1" ht="15" customHeight="1" x14ac:dyDescent="0.2">
      <c r="A5" s="602" t="s">
        <v>5</v>
      </c>
      <c r="B5" s="52" t="s">
        <v>6</v>
      </c>
      <c r="C5" s="555" t="s">
        <v>7</v>
      </c>
      <c r="D5" s="777" t="s">
        <v>8</v>
      </c>
      <c r="E5" s="52" t="s">
        <v>242</v>
      </c>
      <c r="F5" s="52" t="s">
        <v>374</v>
      </c>
      <c r="G5" s="70" t="s">
        <v>307</v>
      </c>
      <c r="H5" s="52" t="s">
        <v>375</v>
      </c>
      <c r="I5" s="77" t="s">
        <v>376</v>
      </c>
      <c r="J5" s="477"/>
    </row>
    <row r="6" spans="1:10" s="230" customFormat="1" ht="15" customHeight="1" thickBot="1" x14ac:dyDescent="0.25">
      <c r="A6" s="630" t="s">
        <v>9</v>
      </c>
      <c r="B6" s="503" t="s">
        <v>10</v>
      </c>
      <c r="C6" s="560"/>
      <c r="D6" s="778"/>
      <c r="E6" s="503" t="s">
        <v>293</v>
      </c>
      <c r="F6" s="338">
        <f>[1]Kap.01!F14</f>
        <v>44561</v>
      </c>
      <c r="G6" s="338">
        <f>F6</f>
        <v>44561</v>
      </c>
      <c r="H6" s="53" t="s">
        <v>220</v>
      </c>
      <c r="I6" s="78" t="s">
        <v>220</v>
      </c>
      <c r="J6" s="477"/>
    </row>
    <row r="7" spans="1:10" s="314" customFormat="1" ht="15.75" x14ac:dyDescent="0.25">
      <c r="A7" s="779" t="s">
        <v>11</v>
      </c>
      <c r="B7" s="169"/>
      <c r="C7" s="170"/>
      <c r="D7" s="780"/>
      <c r="E7" s="781"/>
      <c r="F7" s="781"/>
      <c r="G7" s="781"/>
      <c r="H7" s="782"/>
      <c r="I7" s="540"/>
      <c r="J7" s="486"/>
    </row>
    <row r="8" spans="1:10" x14ac:dyDescent="0.2">
      <c r="A8" s="79" t="s">
        <v>206</v>
      </c>
      <c r="B8" s="1022" t="s">
        <v>207</v>
      </c>
      <c r="C8" s="1023"/>
      <c r="D8" s="724"/>
      <c r="E8" s="721">
        <f>E9</f>
        <v>0</v>
      </c>
      <c r="F8" s="720">
        <f>SUM(F9:F10)</f>
        <v>911.90000000000009</v>
      </c>
      <c r="G8" s="721">
        <f>SUM(G9:G10)</f>
        <v>118</v>
      </c>
      <c r="H8" s="84" t="s">
        <v>305</v>
      </c>
      <c r="I8" s="537">
        <f>(G8/F8)*100</f>
        <v>12.940015352560586</v>
      </c>
      <c r="J8" s="477"/>
    </row>
    <row r="9" spans="1:10" x14ac:dyDescent="0.2">
      <c r="A9" s="81"/>
      <c r="B9" s="122"/>
      <c r="C9" s="761" t="s">
        <v>250</v>
      </c>
      <c r="D9" s="722" t="s">
        <v>107</v>
      </c>
      <c r="E9" s="510">
        <v>0</v>
      </c>
      <c r="F9" s="854">
        <v>122.2</v>
      </c>
      <c r="G9" s="510">
        <v>109</v>
      </c>
      <c r="H9" s="171" t="s">
        <v>305</v>
      </c>
      <c r="I9" s="517">
        <f t="shared" ref="I9:I22" si="0">(G9/F9)*100</f>
        <v>89.198036006546644</v>
      </c>
      <c r="J9" s="477"/>
    </row>
    <row r="10" spans="1:10" x14ac:dyDescent="0.2">
      <c r="A10" s="745"/>
      <c r="B10" s="214"/>
      <c r="C10" s="784"/>
      <c r="D10" s="761" t="s">
        <v>615</v>
      </c>
      <c r="E10" s="521">
        <v>0</v>
      </c>
      <c r="F10" s="874">
        <v>789.7</v>
      </c>
      <c r="G10" s="521">
        <v>9</v>
      </c>
      <c r="H10" s="171" t="s">
        <v>305</v>
      </c>
      <c r="I10" s="517">
        <f t="shared" si="0"/>
        <v>1.1396732936558187</v>
      </c>
      <c r="J10" s="477"/>
    </row>
    <row r="11" spans="1:10" x14ac:dyDescent="0.2">
      <c r="A11" s="745"/>
      <c r="B11" s="214"/>
      <c r="C11" s="784"/>
      <c r="D11" s="785"/>
      <c r="E11" s="521"/>
      <c r="F11" s="874"/>
      <c r="G11" s="521"/>
      <c r="H11" s="171"/>
      <c r="I11" s="517"/>
      <c r="J11" s="477"/>
    </row>
    <row r="12" spans="1:10" x14ac:dyDescent="0.2">
      <c r="A12" s="79" t="s">
        <v>271</v>
      </c>
      <c r="B12" s="1022" t="s">
        <v>272</v>
      </c>
      <c r="C12" s="1023"/>
      <c r="D12" s="172"/>
      <c r="E12" s="926">
        <f>SUM(E13:E21)</f>
        <v>87569</v>
      </c>
      <c r="F12" s="927">
        <f>SUM(F13:F21)</f>
        <v>135638.79999999999</v>
      </c>
      <c r="G12" s="926">
        <f>SUM(G13:G21)</f>
        <v>135073</v>
      </c>
      <c r="H12" s="538">
        <f t="shared" ref="H12:H22" si="1">(G12/E12)*100</f>
        <v>154.24750767965833</v>
      </c>
      <c r="I12" s="537">
        <f t="shared" si="0"/>
        <v>99.58286272069644</v>
      </c>
      <c r="J12" s="477"/>
    </row>
    <row r="13" spans="1:10" x14ac:dyDescent="0.2">
      <c r="A13" s="79"/>
      <c r="B13" s="173">
        <v>504</v>
      </c>
      <c r="C13" s="510" t="s">
        <v>251</v>
      </c>
      <c r="D13" s="786" t="s">
        <v>108</v>
      </c>
      <c r="E13" s="521">
        <v>250</v>
      </c>
      <c r="F13" s="874">
        <v>450</v>
      </c>
      <c r="G13" s="521">
        <v>212</v>
      </c>
      <c r="H13" s="531">
        <f t="shared" si="1"/>
        <v>84.8</v>
      </c>
      <c r="I13" s="517">
        <f t="shared" si="0"/>
        <v>47.111111111111107</v>
      </c>
      <c r="J13" s="477"/>
    </row>
    <row r="14" spans="1:10" x14ac:dyDescent="0.2">
      <c r="A14" s="787"/>
      <c r="B14" s="173" t="s">
        <v>253</v>
      </c>
      <c r="C14" s="510" t="s">
        <v>252</v>
      </c>
      <c r="D14" s="528" t="s">
        <v>108</v>
      </c>
      <c r="E14" s="521">
        <v>150</v>
      </c>
      <c r="F14" s="874">
        <v>150</v>
      </c>
      <c r="G14" s="521">
        <v>2</v>
      </c>
      <c r="H14" s="531">
        <f t="shared" si="1"/>
        <v>1.3333333333333335</v>
      </c>
      <c r="I14" s="517">
        <f t="shared" si="0"/>
        <v>1.3333333333333335</v>
      </c>
      <c r="J14" s="477"/>
    </row>
    <row r="15" spans="1:10" x14ac:dyDescent="0.2">
      <c r="A15" s="787"/>
      <c r="B15" s="173"/>
      <c r="C15" s="510" t="s">
        <v>647</v>
      </c>
      <c r="D15" s="528" t="s">
        <v>108</v>
      </c>
      <c r="E15" s="521">
        <v>0</v>
      </c>
      <c r="F15" s="874">
        <v>20</v>
      </c>
      <c r="G15" s="521">
        <v>20</v>
      </c>
      <c r="H15" s="171" t="s">
        <v>305</v>
      </c>
      <c r="I15" s="517">
        <f t="shared" si="0"/>
        <v>100</v>
      </c>
      <c r="J15" s="477"/>
    </row>
    <row r="16" spans="1:10" x14ac:dyDescent="0.2">
      <c r="A16" s="787"/>
      <c r="B16" s="173"/>
      <c r="C16" s="510" t="s">
        <v>109</v>
      </c>
      <c r="D16" s="783" t="s">
        <v>110</v>
      </c>
      <c r="E16" s="873">
        <v>330</v>
      </c>
      <c r="F16" s="874">
        <v>430</v>
      </c>
      <c r="G16" s="873">
        <v>352</v>
      </c>
      <c r="H16" s="531">
        <f t="shared" si="1"/>
        <v>106.66666666666667</v>
      </c>
      <c r="I16" s="517">
        <f t="shared" si="0"/>
        <v>81.860465116279073</v>
      </c>
      <c r="J16" s="477"/>
    </row>
    <row r="17" spans="1:10" x14ac:dyDescent="0.2">
      <c r="A17" s="787"/>
      <c r="B17" s="173"/>
      <c r="C17" s="788" t="s">
        <v>261</v>
      </c>
      <c r="D17" s="527" t="s">
        <v>115</v>
      </c>
      <c r="E17" s="873">
        <v>8</v>
      </c>
      <c r="F17" s="874">
        <v>8</v>
      </c>
      <c r="G17" s="873">
        <v>7</v>
      </c>
      <c r="H17" s="531">
        <f t="shared" si="1"/>
        <v>87.5</v>
      </c>
      <c r="I17" s="517">
        <f t="shared" si="0"/>
        <v>87.5</v>
      </c>
      <c r="J17" s="477"/>
    </row>
    <row r="18" spans="1:10" x14ac:dyDescent="0.2">
      <c r="A18" s="789"/>
      <c r="B18" s="64">
        <v>501</v>
      </c>
      <c r="C18" s="509" t="s">
        <v>118</v>
      </c>
      <c r="D18" s="527" t="s">
        <v>117</v>
      </c>
      <c r="E18" s="873">
        <v>25164</v>
      </c>
      <c r="F18" s="874">
        <v>32718.799999999999</v>
      </c>
      <c r="G18" s="873">
        <v>32719</v>
      </c>
      <c r="H18" s="531">
        <f t="shared" si="1"/>
        <v>130.02304879987284</v>
      </c>
      <c r="I18" s="517">
        <f t="shared" si="0"/>
        <v>100.00061126936195</v>
      </c>
      <c r="J18" s="790"/>
    </row>
    <row r="19" spans="1:10" ht="25.5" x14ac:dyDescent="0.2">
      <c r="A19" s="787"/>
      <c r="B19" s="174" t="s">
        <v>119</v>
      </c>
      <c r="C19" s="41" t="s">
        <v>264</v>
      </c>
      <c r="D19" s="791" t="s">
        <v>448</v>
      </c>
      <c r="E19" s="873">
        <f>64300-2833</f>
        <v>61467</v>
      </c>
      <c r="F19" s="874">
        <v>98886</v>
      </c>
      <c r="G19" s="873">
        <v>98886</v>
      </c>
      <c r="H19" s="531">
        <f t="shared" si="1"/>
        <v>160.87656791449069</v>
      </c>
      <c r="I19" s="517">
        <f t="shared" si="0"/>
        <v>100</v>
      </c>
      <c r="J19" s="480"/>
    </row>
    <row r="20" spans="1:10" ht="25.5" x14ac:dyDescent="0.2">
      <c r="A20" s="789"/>
      <c r="B20" s="407"/>
      <c r="C20" s="41" t="s">
        <v>490</v>
      </c>
      <c r="D20" s="791" t="s">
        <v>448</v>
      </c>
      <c r="E20" s="875">
        <v>0</v>
      </c>
      <c r="F20" s="876">
        <v>2500</v>
      </c>
      <c r="G20" s="875">
        <v>2500</v>
      </c>
      <c r="H20" s="171" t="s">
        <v>305</v>
      </c>
      <c r="I20" s="517">
        <f t="shared" si="0"/>
        <v>100</v>
      </c>
      <c r="J20" s="480"/>
    </row>
    <row r="21" spans="1:10" s="314" customFormat="1" ht="15.75" thickBot="1" x14ac:dyDescent="0.25">
      <c r="A21" s="789"/>
      <c r="B21" s="64"/>
      <c r="C21" s="792" t="s">
        <v>279</v>
      </c>
      <c r="D21" s="793" t="s">
        <v>120</v>
      </c>
      <c r="E21" s="875">
        <v>200</v>
      </c>
      <c r="F21" s="876">
        <v>476</v>
      </c>
      <c r="G21" s="875">
        <v>375</v>
      </c>
      <c r="H21" s="533">
        <f t="shared" si="1"/>
        <v>187.5</v>
      </c>
      <c r="I21" s="532">
        <f t="shared" si="0"/>
        <v>78.78151260504201</v>
      </c>
      <c r="J21" s="477"/>
    </row>
    <row r="22" spans="1:10" ht="16.5" thickBot="1" x14ac:dyDescent="0.3">
      <c r="A22" s="1024" t="s">
        <v>16</v>
      </c>
      <c r="B22" s="1025"/>
      <c r="C22" s="1026"/>
      <c r="D22" s="748"/>
      <c r="E22" s="428">
        <f>E12+E8</f>
        <v>87569</v>
      </c>
      <c r="F22" s="441">
        <f>F12+F8</f>
        <v>136550.69999999998</v>
      </c>
      <c r="G22" s="428">
        <f>G12+G8</f>
        <v>135191</v>
      </c>
      <c r="H22" s="416">
        <f t="shared" si="1"/>
        <v>154.38225856181981</v>
      </c>
      <c r="I22" s="420">
        <f t="shared" si="0"/>
        <v>99.004252632904866</v>
      </c>
      <c r="J22" s="486"/>
    </row>
    <row r="23" spans="1:10" x14ac:dyDescent="0.2">
      <c r="A23" s="477"/>
      <c r="B23" s="477"/>
      <c r="C23" s="477"/>
      <c r="D23" s="477"/>
      <c r="E23" s="91"/>
      <c r="F23" s="91"/>
      <c r="G23" s="176"/>
      <c r="H23" s="176"/>
      <c r="I23" s="177"/>
      <c r="J23" s="477"/>
    </row>
    <row r="24" spans="1:10" ht="13.5" thickBot="1" x14ac:dyDescent="0.25">
      <c r="A24" s="477"/>
      <c r="B24" s="477"/>
      <c r="C24" s="477"/>
      <c r="D24" s="477"/>
      <c r="E24" s="477"/>
      <c r="F24" s="477"/>
      <c r="G24" s="477"/>
      <c r="H24" s="477"/>
      <c r="I24" s="477"/>
      <c r="J24" s="477"/>
    </row>
    <row r="25" spans="1:10" x14ac:dyDescent="0.2">
      <c r="A25" s="6" t="s">
        <v>1</v>
      </c>
      <c r="B25" s="3" t="s">
        <v>2</v>
      </c>
      <c r="C25" s="291" t="s">
        <v>3</v>
      </c>
      <c r="D25" s="504"/>
      <c r="E25" s="51" t="s">
        <v>4</v>
      </c>
      <c r="F25" s="51" t="s">
        <v>372</v>
      </c>
      <c r="G25" s="51" t="s">
        <v>306</v>
      </c>
      <c r="H25" s="51" t="s">
        <v>373</v>
      </c>
      <c r="I25" s="76" t="s">
        <v>373</v>
      </c>
      <c r="J25" s="477"/>
    </row>
    <row r="26" spans="1:10" x14ac:dyDescent="0.2">
      <c r="A26" s="7" t="s">
        <v>5</v>
      </c>
      <c r="B26" s="4" t="s">
        <v>6</v>
      </c>
      <c r="C26" s="293" t="s">
        <v>7</v>
      </c>
      <c r="D26" s="8" t="s">
        <v>8</v>
      </c>
      <c r="E26" s="52" t="s">
        <v>242</v>
      </c>
      <c r="F26" s="52" t="s">
        <v>374</v>
      </c>
      <c r="G26" s="52" t="s">
        <v>307</v>
      </c>
      <c r="H26" s="52" t="s">
        <v>375</v>
      </c>
      <c r="I26" s="77" t="s">
        <v>376</v>
      </c>
      <c r="J26" s="477"/>
    </row>
    <row r="27" spans="1:10" s="314" customFormat="1" ht="15.75" thickBot="1" x14ac:dyDescent="0.25">
      <c r="A27" s="54" t="s">
        <v>9</v>
      </c>
      <c r="B27" s="5" t="s">
        <v>10</v>
      </c>
      <c r="C27" s="317"/>
      <c r="D27" s="16"/>
      <c r="E27" s="503" t="s">
        <v>293</v>
      </c>
      <c r="F27" s="338">
        <f>F6</f>
        <v>44561</v>
      </c>
      <c r="G27" s="338">
        <f>G6</f>
        <v>44561</v>
      </c>
      <c r="H27" s="53" t="s">
        <v>220</v>
      </c>
      <c r="I27" s="78" t="s">
        <v>220</v>
      </c>
      <c r="J27" s="477"/>
    </row>
    <row r="28" spans="1:10" ht="15.75" x14ac:dyDescent="0.25">
      <c r="A28" s="46" t="s">
        <v>310</v>
      </c>
      <c r="B28" s="97"/>
      <c r="C28" s="502"/>
      <c r="D28" s="501"/>
      <c r="E28" s="499"/>
      <c r="F28" s="500"/>
      <c r="G28" s="499"/>
      <c r="H28" s="498"/>
      <c r="I28" s="497"/>
      <c r="J28" s="486"/>
    </row>
    <row r="29" spans="1:10" x14ac:dyDescent="0.2">
      <c r="A29" s="31" t="s">
        <v>430</v>
      </c>
      <c r="B29" s="1021" t="s">
        <v>210</v>
      </c>
      <c r="C29" s="1021"/>
      <c r="D29" s="496"/>
      <c r="E29" s="885">
        <f>SUM(E30)</f>
        <v>0</v>
      </c>
      <c r="F29" s="886">
        <f>SUM(F30)</f>
        <v>672.6</v>
      </c>
      <c r="G29" s="885">
        <f>SUM(G30)</f>
        <v>0</v>
      </c>
      <c r="H29" s="73" t="s">
        <v>305</v>
      </c>
      <c r="I29" s="494">
        <f t="shared" ref="I29:I35" si="2">(G29/F29)*100</f>
        <v>0</v>
      </c>
      <c r="J29" s="477"/>
    </row>
    <row r="30" spans="1:10" ht="25.5" x14ac:dyDescent="0.2">
      <c r="A30" s="774" t="s">
        <v>430</v>
      </c>
      <c r="B30" s="174">
        <v>80496050917</v>
      </c>
      <c r="C30" s="41" t="s">
        <v>502</v>
      </c>
      <c r="D30" s="175" t="s">
        <v>513</v>
      </c>
      <c r="E30" s="752">
        <v>0</v>
      </c>
      <c r="F30" s="899">
        <v>672.6</v>
      </c>
      <c r="G30" s="752">
        <v>0</v>
      </c>
      <c r="H30" s="752" t="s">
        <v>305</v>
      </c>
      <c r="I30" s="794">
        <v>0</v>
      </c>
      <c r="J30" s="477"/>
    </row>
    <row r="31" spans="1:10" x14ac:dyDescent="0.2">
      <c r="A31" s="31" t="s">
        <v>271</v>
      </c>
      <c r="B31" s="1021" t="s">
        <v>500</v>
      </c>
      <c r="C31" s="1021"/>
      <c r="D31" s="496"/>
      <c r="E31" s="885">
        <f>SUM(E32:E34)</f>
        <v>0</v>
      </c>
      <c r="F31" s="886">
        <f>SUM(F32:F34)</f>
        <v>971.3</v>
      </c>
      <c r="G31" s="885">
        <f>SUM(G32:G34)</f>
        <v>971</v>
      </c>
      <c r="H31" s="73" t="s">
        <v>305</v>
      </c>
      <c r="I31" s="494">
        <f t="shared" ref="I31" si="3">(G31/F31)*100</f>
        <v>99.969113559147544</v>
      </c>
      <c r="J31" s="477"/>
    </row>
    <row r="32" spans="1:10" ht="25.5" x14ac:dyDescent="0.2">
      <c r="A32" s="774" t="s">
        <v>271</v>
      </c>
      <c r="B32" s="174">
        <v>50121</v>
      </c>
      <c r="C32" s="41" t="s">
        <v>510</v>
      </c>
      <c r="D32" s="175" t="s">
        <v>511</v>
      </c>
      <c r="E32" s="752">
        <v>0</v>
      </c>
      <c r="F32" s="899">
        <v>400</v>
      </c>
      <c r="G32" s="752">
        <v>400</v>
      </c>
      <c r="H32" s="215" t="s">
        <v>305</v>
      </c>
      <c r="I32" s="794">
        <f t="shared" si="2"/>
        <v>100</v>
      </c>
      <c r="J32" s="477"/>
    </row>
    <row r="33" spans="1:10" ht="25.5" x14ac:dyDescent="0.2">
      <c r="A33" s="774" t="s">
        <v>271</v>
      </c>
      <c r="B33" s="970" t="s">
        <v>499</v>
      </c>
      <c r="C33" s="41" t="s">
        <v>508</v>
      </c>
      <c r="D33" s="175" t="s">
        <v>512</v>
      </c>
      <c r="E33" s="862">
        <v>0</v>
      </c>
      <c r="F33" s="863">
        <v>432</v>
      </c>
      <c r="G33" s="864">
        <v>432</v>
      </c>
      <c r="H33" s="215" t="s">
        <v>305</v>
      </c>
      <c r="I33" s="794">
        <f t="shared" si="2"/>
        <v>100</v>
      </c>
      <c r="J33" s="477"/>
    </row>
    <row r="34" spans="1:10" s="314" customFormat="1" ht="26.25" thickBot="1" x14ac:dyDescent="0.25">
      <c r="A34" s="774" t="s">
        <v>271</v>
      </c>
      <c r="B34" s="442" t="s">
        <v>501</v>
      </c>
      <c r="C34" s="41" t="s">
        <v>509</v>
      </c>
      <c r="D34" s="175" t="s">
        <v>512</v>
      </c>
      <c r="E34" s="752">
        <v>0</v>
      </c>
      <c r="F34" s="899">
        <v>139.30000000000001</v>
      </c>
      <c r="G34" s="752">
        <v>139</v>
      </c>
      <c r="H34" s="215" t="s">
        <v>305</v>
      </c>
      <c r="I34" s="794">
        <f t="shared" si="2"/>
        <v>99.78463747307967</v>
      </c>
      <c r="J34" s="477"/>
    </row>
    <row r="35" spans="1:10" s="314" customFormat="1" ht="16.5" thickBot="1" x14ac:dyDescent="0.3">
      <c r="A35" s="493" t="s">
        <v>315</v>
      </c>
      <c r="B35" s="483"/>
      <c r="C35" s="483"/>
      <c r="D35" s="483"/>
      <c r="E35" s="929">
        <f>E29+E31</f>
        <v>0</v>
      </c>
      <c r="F35" s="928">
        <f>F29+F31</f>
        <v>1643.9</v>
      </c>
      <c r="G35" s="929">
        <f>G29+G31</f>
        <v>971</v>
      </c>
      <c r="H35" s="178" t="s">
        <v>305</v>
      </c>
      <c r="I35" s="492">
        <f t="shared" si="2"/>
        <v>59.066853214915746</v>
      </c>
      <c r="J35" s="486"/>
    </row>
    <row r="36" spans="1:10" s="314" customFormat="1" ht="15.75" thickBot="1" x14ac:dyDescent="0.25">
      <c r="A36" s="486"/>
      <c r="B36" s="486"/>
      <c r="C36" s="486"/>
      <c r="D36" s="486"/>
      <c r="E36" s="661"/>
      <c r="F36" s="883"/>
      <c r="G36" s="661"/>
      <c r="H36" s="486"/>
      <c r="I36" s="486"/>
      <c r="J36" s="486"/>
    </row>
    <row r="37" spans="1:10" ht="16.5" thickBot="1" x14ac:dyDescent="0.3">
      <c r="A37" s="86" t="s">
        <v>431</v>
      </c>
      <c r="B37" s="485"/>
      <c r="C37" s="484"/>
      <c r="D37" s="483"/>
      <c r="E37" s="415">
        <f>E22+E35</f>
        <v>87569</v>
      </c>
      <c r="F37" s="414">
        <f>F22+F35</f>
        <v>138194.59999999998</v>
      </c>
      <c r="G37" s="415">
        <f>G22+G35</f>
        <v>136162</v>
      </c>
      <c r="H37" s="429">
        <f>G37/E37*100</f>
        <v>155.49109844808095</v>
      </c>
      <c r="I37" s="417">
        <f>(G37/F37)*100</f>
        <v>98.529175524948158</v>
      </c>
      <c r="J37" s="486"/>
    </row>
    <row r="38" spans="1:10" x14ac:dyDescent="0.2">
      <c r="A38" s="477"/>
      <c r="B38" s="477"/>
      <c r="C38" s="477"/>
      <c r="D38" s="477"/>
      <c r="E38" s="477"/>
      <c r="F38" s="477"/>
      <c r="G38" s="477"/>
      <c r="H38" s="477"/>
      <c r="I38" s="477"/>
      <c r="J38" s="477"/>
    </row>
    <row r="39" spans="1:10" x14ac:dyDescent="0.2">
      <c r="A39" s="477"/>
      <c r="B39" s="477"/>
      <c r="C39" s="477"/>
      <c r="D39" s="477"/>
      <c r="E39" s="477"/>
      <c r="F39" s="477"/>
      <c r="G39" s="477"/>
      <c r="H39" s="477"/>
      <c r="I39" s="477"/>
      <c r="J39" s="477"/>
    </row>
    <row r="72" ht="15" customHeight="1" x14ac:dyDescent="0.2"/>
    <row r="73" ht="15" customHeight="1" x14ac:dyDescent="0.2"/>
    <row r="75" ht="15" customHeight="1" x14ac:dyDescent="0.2"/>
    <row r="76" ht="15" customHeight="1" x14ac:dyDescent="0.2"/>
    <row r="77" ht="15" customHeight="1" x14ac:dyDescent="0.2"/>
  </sheetData>
  <mergeCells count="5">
    <mergeCell ref="B31:C31"/>
    <mergeCell ref="B8:C8"/>
    <mergeCell ref="B12:C12"/>
    <mergeCell ref="A22:C22"/>
    <mergeCell ref="B29:C29"/>
  </mergeCells>
  <pageMargins left="0.23622047244094491" right="0" top="0.39370078740157483" bottom="0.19685039370078741" header="0" footer="0"/>
  <pageSetup paperSize="9" scale="78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K49"/>
  <sheetViews>
    <sheetView topLeftCell="A25" zoomScaleNormal="100" workbookViewId="0">
      <selection activeCell="D59" sqref="D59"/>
    </sheetView>
  </sheetViews>
  <sheetFormatPr defaultColWidth="9.140625" defaultRowHeight="12.75" x14ac:dyDescent="0.2"/>
  <cols>
    <col min="1" max="1" width="9.42578125" style="315" customWidth="1"/>
    <col min="2" max="2" width="11.5703125" style="315" customWidth="1"/>
    <col min="3" max="3" width="50" style="315" customWidth="1"/>
    <col min="4" max="4" width="43.5703125" style="315" customWidth="1"/>
    <col min="5" max="5" width="13.140625" style="315" customWidth="1"/>
    <col min="6" max="6" width="16" style="315" customWidth="1"/>
    <col min="7" max="8" width="13.140625" style="315" customWidth="1"/>
    <col min="9" max="9" width="11.85546875" style="315" customWidth="1"/>
    <col min="10" max="10" width="9.140625" style="230"/>
    <col min="11" max="16384" width="9.140625" style="315"/>
  </cols>
  <sheetData>
    <row r="1" spans="1:11" s="314" customFormat="1" ht="15.75" x14ac:dyDescent="0.25">
      <c r="A1" s="179" t="s">
        <v>121</v>
      </c>
      <c r="B1" s="753"/>
      <c r="C1" s="754"/>
      <c r="D1" s="753"/>
      <c r="E1" s="486"/>
      <c r="F1" s="486"/>
      <c r="G1" s="486"/>
      <c r="H1" s="486"/>
      <c r="I1" s="486"/>
      <c r="J1" s="486"/>
    </row>
    <row r="2" spans="1:11" ht="13.5" thickBot="1" x14ac:dyDescent="0.25">
      <c r="A2" s="755"/>
      <c r="B2" s="185"/>
      <c r="C2" s="185"/>
      <c r="D2" s="755"/>
      <c r="E2" s="477"/>
      <c r="F2" s="477"/>
      <c r="G2" s="477"/>
      <c r="H2" s="477"/>
      <c r="I2" s="739" t="s">
        <v>596</v>
      </c>
      <c r="J2" s="477"/>
    </row>
    <row r="3" spans="1:11" x14ac:dyDescent="0.2">
      <c r="A3" s="103" t="s">
        <v>1</v>
      </c>
      <c r="B3" s="105" t="s">
        <v>2</v>
      </c>
      <c r="C3" s="104" t="s">
        <v>3</v>
      </c>
      <c r="D3" s="713"/>
      <c r="E3" s="3" t="s">
        <v>4</v>
      </c>
      <c r="F3" s="3" t="s">
        <v>372</v>
      </c>
      <c r="G3" s="37" t="s">
        <v>306</v>
      </c>
      <c r="H3" s="51" t="s">
        <v>373</v>
      </c>
      <c r="I3" s="76" t="s">
        <v>373</v>
      </c>
      <c r="J3" s="477"/>
    </row>
    <row r="4" spans="1:11" x14ac:dyDescent="0.2">
      <c r="A4" s="107" t="s">
        <v>5</v>
      </c>
      <c r="B4" s="109" t="s">
        <v>6</v>
      </c>
      <c r="C4" s="714" t="s">
        <v>7</v>
      </c>
      <c r="D4" s="110" t="s">
        <v>8</v>
      </c>
      <c r="E4" s="4" t="s">
        <v>242</v>
      </c>
      <c r="F4" s="4" t="s">
        <v>374</v>
      </c>
      <c r="G4" s="38" t="s">
        <v>307</v>
      </c>
      <c r="H4" s="52" t="s">
        <v>375</v>
      </c>
      <c r="I4" s="77" t="s">
        <v>376</v>
      </c>
      <c r="J4" s="477"/>
    </row>
    <row r="5" spans="1:11" ht="13.5" thickBot="1" x14ac:dyDescent="0.25">
      <c r="A5" s="180" t="s">
        <v>9</v>
      </c>
      <c r="B5" s="114" t="s">
        <v>10</v>
      </c>
      <c r="C5" s="113"/>
      <c r="D5" s="115"/>
      <c r="E5" s="5" t="s">
        <v>293</v>
      </c>
      <c r="F5" s="338">
        <v>44561</v>
      </c>
      <c r="G5" s="338">
        <f>F5</f>
        <v>44561</v>
      </c>
      <c r="H5" s="53" t="s">
        <v>220</v>
      </c>
      <c r="I5" s="78" t="s">
        <v>220</v>
      </c>
      <c r="J5" s="477"/>
    </row>
    <row r="6" spans="1:11" s="314" customFormat="1" ht="15.75" x14ac:dyDescent="0.25">
      <c r="A6" s="181" t="s">
        <v>11</v>
      </c>
      <c r="B6" s="756"/>
      <c r="C6" s="756"/>
      <c r="D6" s="756"/>
      <c r="E6" s="757"/>
      <c r="F6" s="781"/>
      <c r="G6" s="781"/>
      <c r="H6" s="758"/>
      <c r="I6" s="759"/>
      <c r="J6" s="486"/>
    </row>
    <row r="7" spans="1:11" x14ac:dyDescent="0.2">
      <c r="A7" s="31" t="s">
        <v>122</v>
      </c>
      <c r="B7" s="48" t="s">
        <v>241</v>
      </c>
      <c r="C7" s="48"/>
      <c r="D7" s="760"/>
      <c r="E7" s="721">
        <f>SUM(E8:E23)</f>
        <v>18773.98</v>
      </c>
      <c r="F7" s="720">
        <f>SUM(F8:F23)</f>
        <v>19944.88</v>
      </c>
      <c r="G7" s="721">
        <f>SUM(G8:G23)</f>
        <v>17344</v>
      </c>
      <c r="H7" s="538">
        <f t="shared" ref="H7:H30" si="0">(G7/E7)*100</f>
        <v>92.383181403197398</v>
      </c>
      <c r="I7" s="537">
        <f>(G7/F7)*100</f>
        <v>86.959660825234337</v>
      </c>
      <c r="J7" s="477"/>
    </row>
    <row r="8" spans="1:11" x14ac:dyDescent="0.2">
      <c r="A8" s="31"/>
      <c r="B8" s="182">
        <v>611</v>
      </c>
      <c r="C8" s="20" t="s">
        <v>123</v>
      </c>
      <c r="D8" s="761" t="s">
        <v>124</v>
      </c>
      <c r="E8" s="583">
        <v>800</v>
      </c>
      <c r="F8" s="582">
        <v>528</v>
      </c>
      <c r="G8" s="583">
        <v>353</v>
      </c>
      <c r="H8" s="531">
        <f t="shared" si="0"/>
        <v>44.125</v>
      </c>
      <c r="I8" s="517">
        <f t="shared" ref="I8:I25" si="1">(G8/F8)*100</f>
        <v>66.856060606060609</v>
      </c>
      <c r="J8" s="477"/>
    </row>
    <row r="9" spans="1:11" x14ac:dyDescent="0.2">
      <c r="A9" s="31"/>
      <c r="B9" s="182">
        <v>619</v>
      </c>
      <c r="C9" s="20" t="s">
        <v>290</v>
      </c>
      <c r="D9" s="761" t="s">
        <v>124</v>
      </c>
      <c r="E9" s="583">
        <v>400</v>
      </c>
      <c r="F9" s="582">
        <v>470</v>
      </c>
      <c r="G9" s="930">
        <v>417</v>
      </c>
      <c r="H9" s="531">
        <f t="shared" si="0"/>
        <v>104.25</v>
      </c>
      <c r="I9" s="517">
        <f t="shared" si="1"/>
        <v>88.723404255319153</v>
      </c>
      <c r="J9" s="477"/>
    </row>
    <row r="10" spans="1:11" s="238" customFormat="1" x14ac:dyDescent="0.2">
      <c r="A10" s="31"/>
      <c r="B10" s="40" t="s">
        <v>125</v>
      </c>
      <c r="C10" s="20" t="s">
        <v>240</v>
      </c>
      <c r="D10" s="762" t="s">
        <v>126</v>
      </c>
      <c r="E10" s="583">
        <v>799.98</v>
      </c>
      <c r="F10" s="582">
        <v>573.98</v>
      </c>
      <c r="G10" s="583">
        <v>571</v>
      </c>
      <c r="H10" s="531">
        <f t="shared" si="0"/>
        <v>71.376784419610487</v>
      </c>
      <c r="I10" s="517">
        <f t="shared" si="1"/>
        <v>99.48081814697376</v>
      </c>
      <c r="J10" s="659"/>
    </row>
    <row r="11" spans="1:11" x14ac:dyDescent="0.2">
      <c r="A11" s="81"/>
      <c r="B11" s="40" t="s">
        <v>127</v>
      </c>
      <c r="C11" s="20" t="s">
        <v>128</v>
      </c>
      <c r="D11" s="762" t="s">
        <v>129</v>
      </c>
      <c r="E11" s="583">
        <v>3174</v>
      </c>
      <c r="F11" s="582">
        <v>2023.4</v>
      </c>
      <c r="G11" s="583">
        <v>2015</v>
      </c>
      <c r="H11" s="531">
        <f t="shared" si="0"/>
        <v>63.484562066792691</v>
      </c>
      <c r="I11" s="517">
        <f t="shared" si="1"/>
        <v>99.58485717109815</v>
      </c>
      <c r="J11" s="477"/>
      <c r="K11" s="320"/>
    </row>
    <row r="12" spans="1:11" ht="15" customHeight="1" x14ac:dyDescent="0.2">
      <c r="A12" s="81"/>
      <c r="B12" s="40" t="s">
        <v>130</v>
      </c>
      <c r="C12" s="761" t="s">
        <v>131</v>
      </c>
      <c r="D12" s="20" t="s">
        <v>132</v>
      </c>
      <c r="E12" s="583">
        <v>350</v>
      </c>
      <c r="F12" s="582">
        <v>494</v>
      </c>
      <c r="G12" s="583">
        <v>447</v>
      </c>
      <c r="H12" s="531">
        <f t="shared" si="0"/>
        <v>127.71428571428571</v>
      </c>
      <c r="I12" s="517">
        <f t="shared" si="1"/>
        <v>90.485829959514177</v>
      </c>
      <c r="J12" s="477"/>
    </row>
    <row r="13" spans="1:11" ht="15" customHeight="1" x14ac:dyDescent="0.2">
      <c r="A13" s="81"/>
      <c r="B13" s="40"/>
      <c r="C13" s="761" t="s">
        <v>650</v>
      </c>
      <c r="D13" s="20" t="s">
        <v>132</v>
      </c>
      <c r="E13" s="583">
        <v>0</v>
      </c>
      <c r="F13" s="582">
        <v>150</v>
      </c>
      <c r="G13" s="583">
        <v>150</v>
      </c>
      <c r="H13" s="215" t="s">
        <v>305</v>
      </c>
      <c r="I13" s="517">
        <f t="shared" si="1"/>
        <v>100</v>
      </c>
      <c r="J13" s="477"/>
    </row>
    <row r="14" spans="1:11" x14ac:dyDescent="0.2">
      <c r="A14" s="81"/>
      <c r="B14" s="40"/>
      <c r="C14" s="761" t="s">
        <v>133</v>
      </c>
      <c r="D14" s="761" t="s">
        <v>134</v>
      </c>
      <c r="E14" s="583">
        <v>350</v>
      </c>
      <c r="F14" s="582">
        <v>215</v>
      </c>
      <c r="G14" s="583">
        <v>207</v>
      </c>
      <c r="H14" s="531">
        <f t="shared" si="0"/>
        <v>59.142857142857139</v>
      </c>
      <c r="I14" s="517">
        <f t="shared" si="1"/>
        <v>96.279069767441854</v>
      </c>
      <c r="J14" s="477"/>
    </row>
    <row r="15" spans="1:11" x14ac:dyDescent="0.2">
      <c r="A15" s="81"/>
      <c r="B15" s="40"/>
      <c r="C15" s="20" t="s">
        <v>135</v>
      </c>
      <c r="D15" s="761" t="s">
        <v>136</v>
      </c>
      <c r="E15" s="583">
        <v>250</v>
      </c>
      <c r="F15" s="582">
        <v>205</v>
      </c>
      <c r="G15" s="583">
        <v>169</v>
      </c>
      <c r="H15" s="531">
        <f t="shared" si="0"/>
        <v>67.600000000000009</v>
      </c>
      <c r="I15" s="517">
        <f t="shared" si="1"/>
        <v>82.439024390243901</v>
      </c>
      <c r="J15" s="477"/>
    </row>
    <row r="16" spans="1:11" x14ac:dyDescent="0.2">
      <c r="A16" s="31"/>
      <c r="B16" s="48"/>
      <c r="C16" s="20" t="s">
        <v>137</v>
      </c>
      <c r="D16" s="20" t="s">
        <v>138</v>
      </c>
      <c r="E16" s="583">
        <v>300</v>
      </c>
      <c r="F16" s="582">
        <v>440</v>
      </c>
      <c r="G16" s="583">
        <v>353</v>
      </c>
      <c r="H16" s="531">
        <f t="shared" si="0"/>
        <v>117.66666666666667</v>
      </c>
      <c r="I16" s="517">
        <f t="shared" si="1"/>
        <v>80.22727272727272</v>
      </c>
      <c r="J16" s="477"/>
    </row>
    <row r="17" spans="1:10" x14ac:dyDescent="0.2">
      <c r="A17" s="31"/>
      <c r="B17" s="48"/>
      <c r="C17" s="20" t="s">
        <v>299</v>
      </c>
      <c r="D17" s="20" t="s">
        <v>300</v>
      </c>
      <c r="E17" s="583">
        <v>650</v>
      </c>
      <c r="F17" s="582">
        <v>1324.1</v>
      </c>
      <c r="G17" s="583">
        <v>1123</v>
      </c>
      <c r="H17" s="531">
        <f t="shared" si="0"/>
        <v>172.76923076923077</v>
      </c>
      <c r="I17" s="517">
        <f t="shared" si="1"/>
        <v>84.812325353070023</v>
      </c>
      <c r="J17" s="477"/>
    </row>
    <row r="18" spans="1:10" x14ac:dyDescent="0.2">
      <c r="A18" s="81"/>
      <c r="B18" s="183"/>
      <c r="C18" s="20" t="s">
        <v>291</v>
      </c>
      <c r="D18" s="20" t="s">
        <v>139</v>
      </c>
      <c r="E18" s="583">
        <v>1600</v>
      </c>
      <c r="F18" s="582">
        <v>4170</v>
      </c>
      <c r="G18" s="583">
        <v>3805</v>
      </c>
      <c r="H18" s="531">
        <f t="shared" si="0"/>
        <v>237.81249999999997</v>
      </c>
      <c r="I18" s="517">
        <f t="shared" si="1"/>
        <v>91.247002398081534</v>
      </c>
      <c r="J18" s="477"/>
    </row>
    <row r="19" spans="1:10" x14ac:dyDescent="0.2">
      <c r="A19" s="81"/>
      <c r="B19" s="40" t="s">
        <v>308</v>
      </c>
      <c r="C19" s="20" t="s">
        <v>301</v>
      </c>
      <c r="D19" s="20" t="s">
        <v>139</v>
      </c>
      <c r="E19" s="583">
        <v>1000</v>
      </c>
      <c r="F19" s="582">
        <v>1210</v>
      </c>
      <c r="G19" s="583">
        <v>1062</v>
      </c>
      <c r="H19" s="531">
        <f t="shared" si="0"/>
        <v>106.2</v>
      </c>
      <c r="I19" s="517">
        <f t="shared" si="1"/>
        <v>87.768595041322314</v>
      </c>
      <c r="J19" s="477"/>
    </row>
    <row r="20" spans="1:10" x14ac:dyDescent="0.2">
      <c r="A20" s="81"/>
      <c r="B20" s="40" t="s">
        <v>231</v>
      </c>
      <c r="C20" s="20" t="s">
        <v>230</v>
      </c>
      <c r="D20" s="20" t="s">
        <v>139</v>
      </c>
      <c r="E20" s="583">
        <v>300</v>
      </c>
      <c r="F20" s="582">
        <v>128.5</v>
      </c>
      <c r="G20" s="583">
        <v>100</v>
      </c>
      <c r="H20" s="531">
        <f t="shared" si="0"/>
        <v>33.333333333333329</v>
      </c>
      <c r="I20" s="517">
        <f t="shared" si="1"/>
        <v>77.821011673151759</v>
      </c>
      <c r="J20" s="477"/>
    </row>
    <row r="21" spans="1:10" x14ac:dyDescent="0.2">
      <c r="A21" s="763"/>
      <c r="B21" s="40" t="s">
        <v>221</v>
      </c>
      <c r="C21" s="20" t="s">
        <v>229</v>
      </c>
      <c r="D21" s="20" t="s">
        <v>132</v>
      </c>
      <c r="E21" s="583">
        <v>4500</v>
      </c>
      <c r="F21" s="582">
        <v>4500</v>
      </c>
      <c r="G21" s="583">
        <v>4500</v>
      </c>
      <c r="H21" s="531">
        <f t="shared" si="0"/>
        <v>100</v>
      </c>
      <c r="I21" s="517">
        <f t="shared" si="1"/>
        <v>100</v>
      </c>
      <c r="J21" s="477"/>
    </row>
    <row r="22" spans="1:10" ht="27.75" customHeight="1" x14ac:dyDescent="0.2">
      <c r="A22" s="763"/>
      <c r="B22" s="40"/>
      <c r="C22" s="20" t="s">
        <v>256</v>
      </c>
      <c r="D22" s="184" t="s">
        <v>257</v>
      </c>
      <c r="E22" s="583">
        <v>300</v>
      </c>
      <c r="F22" s="582">
        <v>660.4</v>
      </c>
      <c r="G22" s="583">
        <v>409</v>
      </c>
      <c r="H22" s="531">
        <f t="shared" si="0"/>
        <v>136.33333333333331</v>
      </c>
      <c r="I22" s="517">
        <f t="shared" si="1"/>
        <v>61.932162325863118</v>
      </c>
      <c r="J22" s="477"/>
    </row>
    <row r="23" spans="1:10" x14ac:dyDescent="0.2">
      <c r="A23" s="81"/>
      <c r="B23" s="40" t="s">
        <v>309</v>
      </c>
      <c r="C23" s="20" t="s">
        <v>292</v>
      </c>
      <c r="D23" s="761" t="s">
        <v>136</v>
      </c>
      <c r="E23" s="583">
        <v>4000</v>
      </c>
      <c r="F23" s="582">
        <v>2852.5</v>
      </c>
      <c r="G23" s="583">
        <v>1663</v>
      </c>
      <c r="H23" s="531">
        <f t="shared" si="0"/>
        <v>41.575000000000003</v>
      </c>
      <c r="I23" s="517">
        <f t="shared" si="1"/>
        <v>58.299737072743206</v>
      </c>
      <c r="J23" s="477"/>
    </row>
    <row r="24" spans="1:10" x14ac:dyDescent="0.2">
      <c r="A24" s="81"/>
      <c r="B24" s="40"/>
      <c r="C24" s="20"/>
      <c r="D24" s="761"/>
      <c r="E24" s="583"/>
      <c r="F24" s="582"/>
      <c r="G24" s="583"/>
      <c r="H24" s="531"/>
      <c r="I24" s="517"/>
      <c r="J24" s="477"/>
    </row>
    <row r="25" spans="1:10" x14ac:dyDescent="0.2">
      <c r="A25" s="31" t="s">
        <v>140</v>
      </c>
      <c r="B25" s="48" t="s">
        <v>204</v>
      </c>
      <c r="C25" s="742"/>
      <c r="D25" s="742"/>
      <c r="E25" s="721">
        <f>SUM(E26:E29)</f>
        <v>1105</v>
      </c>
      <c r="F25" s="720">
        <f>SUM(F26:F29)</f>
        <v>855</v>
      </c>
      <c r="G25" s="721">
        <f>SUM(G26:G29)</f>
        <v>638</v>
      </c>
      <c r="H25" s="538">
        <f t="shared" si="0"/>
        <v>57.737556561085967</v>
      </c>
      <c r="I25" s="537">
        <f t="shared" si="1"/>
        <v>74.619883040935676</v>
      </c>
      <c r="J25" s="477"/>
    </row>
    <row r="26" spans="1:10" ht="15" customHeight="1" x14ac:dyDescent="0.2">
      <c r="A26" s="1031"/>
      <c r="B26" s="1039"/>
      <c r="C26" s="1035" t="s">
        <v>238</v>
      </c>
      <c r="D26" s="1037" t="s">
        <v>142</v>
      </c>
      <c r="E26" s="1029">
        <v>105</v>
      </c>
      <c r="F26" s="931"/>
      <c r="G26" s="1029">
        <v>0</v>
      </c>
      <c r="H26" s="1041">
        <f t="shared" si="0"/>
        <v>0</v>
      </c>
      <c r="I26" s="1027">
        <v>0</v>
      </c>
      <c r="J26" s="477"/>
    </row>
    <row r="27" spans="1:10" x14ac:dyDescent="0.2">
      <c r="A27" s="1032"/>
      <c r="B27" s="1040"/>
      <c r="C27" s="1036"/>
      <c r="D27" s="1038"/>
      <c r="E27" s="1030"/>
      <c r="F27" s="932">
        <v>55</v>
      </c>
      <c r="G27" s="1030"/>
      <c r="H27" s="1042"/>
      <c r="I27" s="1028"/>
      <c r="J27" s="477"/>
    </row>
    <row r="28" spans="1:10" x14ac:dyDescent="0.2">
      <c r="A28" s="81"/>
      <c r="B28" s="40" t="s">
        <v>143</v>
      </c>
      <c r="C28" s="20" t="s">
        <v>239</v>
      </c>
      <c r="D28" s="20" t="s">
        <v>142</v>
      </c>
      <c r="E28" s="583">
        <v>800</v>
      </c>
      <c r="F28" s="582">
        <v>650</v>
      </c>
      <c r="G28" s="583">
        <v>598</v>
      </c>
      <c r="H28" s="531">
        <f t="shared" si="0"/>
        <v>74.75</v>
      </c>
      <c r="I28" s="517">
        <f t="shared" ref="I28:I30" si="2">(G28/F28)*100</f>
        <v>92</v>
      </c>
      <c r="J28" s="477"/>
    </row>
    <row r="29" spans="1:10" ht="13.5" thickBot="1" x14ac:dyDescent="0.25">
      <c r="A29" s="744"/>
      <c r="B29" s="747"/>
      <c r="C29" s="746" t="s">
        <v>144</v>
      </c>
      <c r="D29" s="764" t="s">
        <v>136</v>
      </c>
      <c r="E29" s="878">
        <v>200</v>
      </c>
      <c r="F29" s="879">
        <v>150</v>
      </c>
      <c r="G29" s="878">
        <v>40</v>
      </c>
      <c r="H29" s="533">
        <f t="shared" si="0"/>
        <v>20</v>
      </c>
      <c r="I29" s="532">
        <f t="shared" si="2"/>
        <v>26.666666666666668</v>
      </c>
      <c r="J29" s="477"/>
    </row>
    <row r="30" spans="1:10" s="314" customFormat="1" ht="16.5" thickBot="1" x14ac:dyDescent="0.3">
      <c r="A30" s="1033" t="s">
        <v>16</v>
      </c>
      <c r="B30" s="1034"/>
      <c r="C30" s="1034"/>
      <c r="D30" s="484"/>
      <c r="E30" s="421">
        <f>E7+E25</f>
        <v>19878.98</v>
      </c>
      <c r="F30" s="440">
        <f>F7+F25</f>
        <v>20799.88</v>
      </c>
      <c r="G30" s="421">
        <f>G7+G25</f>
        <v>17982</v>
      </c>
      <c r="H30" s="416">
        <f t="shared" si="0"/>
        <v>90.457357470051278</v>
      </c>
      <c r="I30" s="420">
        <f t="shared" si="2"/>
        <v>86.452421840895227</v>
      </c>
      <c r="J30" s="765"/>
    </row>
    <row r="31" spans="1:10" x14ac:dyDescent="0.2">
      <c r="A31" s="766"/>
      <c r="B31" s="766"/>
      <c r="C31" s="766"/>
      <c r="D31" s="766"/>
      <c r="E31" s="91"/>
      <c r="F31" s="91"/>
      <c r="G31" s="186"/>
      <c r="H31" s="186"/>
      <c r="I31" s="167"/>
      <c r="J31" s="480"/>
    </row>
    <row r="32" spans="1:10" x14ac:dyDescent="0.2">
      <c r="A32" s="477"/>
      <c r="B32" s="477"/>
      <c r="C32" s="477"/>
      <c r="D32" s="477"/>
      <c r="E32" s="477"/>
      <c r="F32" s="477"/>
      <c r="G32" s="477"/>
      <c r="H32" s="477"/>
      <c r="I32" s="477"/>
      <c r="J32" s="477"/>
    </row>
    <row r="33" spans="1:10" ht="13.5" thickBot="1" x14ac:dyDescent="0.25">
      <c r="A33" s="477"/>
      <c r="B33" s="477"/>
      <c r="C33" s="477"/>
      <c r="D33" s="477"/>
      <c r="E33" s="477"/>
      <c r="F33" s="477"/>
      <c r="G33" s="477"/>
      <c r="H33" s="477"/>
      <c r="I33" s="477"/>
      <c r="J33" s="477"/>
    </row>
    <row r="34" spans="1:10" x14ac:dyDescent="0.2">
      <c r="A34" s="6" t="s">
        <v>1</v>
      </c>
      <c r="B34" s="3" t="s">
        <v>2</v>
      </c>
      <c r="C34" s="291" t="s">
        <v>3</v>
      </c>
      <c r="D34" s="504"/>
      <c r="E34" s="51" t="s">
        <v>4</v>
      </c>
      <c r="F34" s="51" t="s">
        <v>372</v>
      </c>
      <c r="G34" s="51" t="s">
        <v>306</v>
      </c>
      <c r="H34" s="51" t="s">
        <v>373</v>
      </c>
      <c r="I34" s="76" t="s">
        <v>373</v>
      </c>
      <c r="J34" s="477"/>
    </row>
    <row r="35" spans="1:10" x14ac:dyDescent="0.2">
      <c r="A35" s="7" t="s">
        <v>5</v>
      </c>
      <c r="B35" s="4" t="s">
        <v>6</v>
      </c>
      <c r="C35" s="293" t="s">
        <v>7</v>
      </c>
      <c r="D35" s="8" t="s">
        <v>8</v>
      </c>
      <c r="E35" s="52" t="s">
        <v>242</v>
      </c>
      <c r="F35" s="52" t="s">
        <v>374</v>
      </c>
      <c r="G35" s="52" t="s">
        <v>307</v>
      </c>
      <c r="H35" s="52" t="s">
        <v>375</v>
      </c>
      <c r="I35" s="77" t="s">
        <v>376</v>
      </c>
      <c r="J35" s="477"/>
    </row>
    <row r="36" spans="1:10" ht="13.5" thickBot="1" x14ac:dyDescent="0.25">
      <c r="A36" s="54" t="s">
        <v>9</v>
      </c>
      <c r="B36" s="5" t="s">
        <v>10</v>
      </c>
      <c r="C36" s="317"/>
      <c r="D36" s="16"/>
      <c r="E36" s="503" t="s">
        <v>293</v>
      </c>
      <c r="F36" s="338">
        <v>44561</v>
      </c>
      <c r="G36" s="338">
        <v>44561</v>
      </c>
      <c r="H36" s="53" t="s">
        <v>220</v>
      </c>
      <c r="I36" s="78" t="s">
        <v>220</v>
      </c>
      <c r="J36" s="477"/>
    </row>
    <row r="37" spans="1:10" ht="15.75" x14ac:dyDescent="0.25">
      <c r="A37" s="9" t="s">
        <v>310</v>
      </c>
      <c r="B37" s="767"/>
      <c r="C37" s="768"/>
      <c r="D37" s="769"/>
      <c r="E37" s="564"/>
      <c r="F37" s="770"/>
      <c r="G37" s="564"/>
      <c r="H37" s="771"/>
      <c r="I37" s="772"/>
      <c r="J37" s="477"/>
    </row>
    <row r="38" spans="1:10" x14ac:dyDescent="0.2">
      <c r="A38" s="31" t="s">
        <v>122</v>
      </c>
      <c r="B38" s="1021" t="s">
        <v>241</v>
      </c>
      <c r="C38" s="1021"/>
      <c r="D38" s="496"/>
      <c r="E38" s="885">
        <f>E40</f>
        <v>0</v>
      </c>
      <c r="F38" s="886">
        <f>SUM(F39:F45)</f>
        <v>1156</v>
      </c>
      <c r="G38" s="885">
        <f>SUM(G39:G45)</f>
        <v>1120</v>
      </c>
      <c r="H38" s="84" t="s">
        <v>305</v>
      </c>
      <c r="I38" s="494">
        <f t="shared" ref="I38:I45" si="3">(G38/F38)*100</f>
        <v>96.885813148788927</v>
      </c>
      <c r="J38" s="477"/>
    </row>
    <row r="39" spans="1:10" x14ac:dyDescent="0.2">
      <c r="A39" s="47"/>
      <c r="B39" s="747" t="s">
        <v>471</v>
      </c>
      <c r="C39" s="746" t="s">
        <v>472</v>
      </c>
      <c r="D39" s="773" t="s">
        <v>515</v>
      </c>
      <c r="E39" s="752">
        <v>0</v>
      </c>
      <c r="F39" s="899">
        <v>49</v>
      </c>
      <c r="G39" s="933">
        <v>49</v>
      </c>
      <c r="H39" s="215" t="s">
        <v>305</v>
      </c>
      <c r="I39" s="517">
        <f t="shared" si="3"/>
        <v>100</v>
      </c>
      <c r="J39" s="477"/>
    </row>
    <row r="40" spans="1:10" x14ac:dyDescent="0.2">
      <c r="A40" s="774"/>
      <c r="B40" s="747" t="s">
        <v>470</v>
      </c>
      <c r="C40" s="55" t="s">
        <v>473</v>
      </c>
      <c r="D40" s="319" t="s">
        <v>514</v>
      </c>
      <c r="E40" s="862">
        <v>0</v>
      </c>
      <c r="F40" s="863">
        <v>497</v>
      </c>
      <c r="G40" s="934">
        <v>496</v>
      </c>
      <c r="H40" s="215" t="s">
        <v>305</v>
      </c>
      <c r="I40" s="517">
        <f t="shared" si="3"/>
        <v>99.798792756539228</v>
      </c>
      <c r="J40" s="477"/>
    </row>
    <row r="41" spans="1:10" x14ac:dyDescent="0.2">
      <c r="A41" s="310"/>
      <c r="B41" s="40" t="s">
        <v>636</v>
      </c>
      <c r="C41" s="42" t="s">
        <v>637</v>
      </c>
      <c r="D41" s="775" t="s">
        <v>514</v>
      </c>
      <c r="E41" s="860">
        <v>0</v>
      </c>
      <c r="F41" s="861">
        <v>221.5</v>
      </c>
      <c r="G41" s="935">
        <v>221</v>
      </c>
      <c r="H41" s="776" t="s">
        <v>305</v>
      </c>
      <c r="I41" s="517">
        <f t="shared" si="3"/>
        <v>99.77426636568849</v>
      </c>
      <c r="J41" s="477"/>
    </row>
    <row r="42" spans="1:10" x14ac:dyDescent="0.2">
      <c r="A42" s="310"/>
      <c r="B42" s="40" t="s">
        <v>638</v>
      </c>
      <c r="C42" s="42" t="s">
        <v>656</v>
      </c>
      <c r="D42" s="775"/>
      <c r="E42" s="860">
        <v>0</v>
      </c>
      <c r="F42" s="861">
        <v>97</v>
      </c>
      <c r="G42" s="935">
        <v>97</v>
      </c>
      <c r="H42" s="776" t="s">
        <v>305</v>
      </c>
      <c r="I42" s="517">
        <f t="shared" si="3"/>
        <v>100</v>
      </c>
      <c r="J42" s="477"/>
    </row>
    <row r="43" spans="1:10" x14ac:dyDescent="0.2">
      <c r="A43" s="310"/>
      <c r="B43" s="40" t="s">
        <v>639</v>
      </c>
      <c r="C43" s="42" t="s">
        <v>640</v>
      </c>
      <c r="D43" s="775"/>
      <c r="E43" s="860">
        <v>0</v>
      </c>
      <c r="F43" s="861">
        <v>80</v>
      </c>
      <c r="G43" s="935">
        <v>47</v>
      </c>
      <c r="H43" s="776" t="s">
        <v>305</v>
      </c>
      <c r="I43" s="517">
        <f t="shared" si="3"/>
        <v>58.75</v>
      </c>
      <c r="J43" s="477"/>
    </row>
    <row r="44" spans="1:10" ht="15" customHeight="1" x14ac:dyDescent="0.2">
      <c r="A44" s="310"/>
      <c r="B44" s="40" t="s">
        <v>641</v>
      </c>
      <c r="C44" s="42" t="s">
        <v>642</v>
      </c>
      <c r="D44" s="775"/>
      <c r="E44" s="860">
        <v>0</v>
      </c>
      <c r="F44" s="861">
        <v>62.5</v>
      </c>
      <c r="G44" s="935">
        <v>62</v>
      </c>
      <c r="H44" s="776" t="s">
        <v>305</v>
      </c>
      <c r="I44" s="517">
        <f t="shared" si="3"/>
        <v>99.2</v>
      </c>
      <c r="J44" s="477"/>
    </row>
    <row r="45" spans="1:10" ht="13.5" thickBot="1" x14ac:dyDescent="0.25">
      <c r="A45" s="774"/>
      <c r="B45" s="747" t="s">
        <v>643</v>
      </c>
      <c r="C45" s="55" t="s">
        <v>644</v>
      </c>
      <c r="D45" s="319"/>
      <c r="E45" s="862">
        <v>0</v>
      </c>
      <c r="F45" s="863">
        <v>149</v>
      </c>
      <c r="G45" s="934">
        <v>148</v>
      </c>
      <c r="H45" s="743" t="s">
        <v>305</v>
      </c>
      <c r="I45" s="532">
        <f t="shared" si="3"/>
        <v>99.328859060402692</v>
      </c>
      <c r="J45" s="477"/>
    </row>
    <row r="46" spans="1:10" ht="16.5" thickBot="1" x14ac:dyDescent="0.3">
      <c r="A46" s="493" t="s">
        <v>315</v>
      </c>
      <c r="B46" s="483"/>
      <c r="C46" s="483"/>
      <c r="D46" s="483"/>
      <c r="E46" s="415">
        <f>E40</f>
        <v>0</v>
      </c>
      <c r="F46" s="414">
        <f>F38</f>
        <v>1156</v>
      </c>
      <c r="G46" s="415">
        <f>G38</f>
        <v>1120</v>
      </c>
      <c r="H46" s="430" t="s">
        <v>305</v>
      </c>
      <c r="I46" s="417">
        <f>G46/F46*100</f>
        <v>96.885813148788927</v>
      </c>
      <c r="J46" s="477"/>
    </row>
    <row r="47" spans="1:10" ht="15.75" thickBot="1" x14ac:dyDescent="0.25">
      <c r="A47" s="486"/>
      <c r="B47" s="486"/>
      <c r="C47" s="486"/>
      <c r="D47" s="486"/>
      <c r="E47" s="431"/>
      <c r="F47" s="653"/>
      <c r="G47" s="431"/>
      <c r="H47" s="652"/>
      <c r="I47" s="652"/>
      <c r="J47" s="477"/>
    </row>
    <row r="48" spans="1:10" ht="16.5" thickBot="1" x14ac:dyDescent="0.3">
      <c r="A48" s="86" t="s">
        <v>469</v>
      </c>
      <c r="B48" s="485"/>
      <c r="C48" s="484"/>
      <c r="D48" s="483"/>
      <c r="E48" s="415">
        <f>E30+E46</f>
        <v>19878.98</v>
      </c>
      <c r="F48" s="414">
        <f>F30+F46</f>
        <v>21955.88</v>
      </c>
      <c r="G48" s="415">
        <f>G30+G46</f>
        <v>19102</v>
      </c>
      <c r="H48" s="429">
        <f>G48/E48*100</f>
        <v>96.091449360077831</v>
      </c>
      <c r="I48" s="417">
        <f>(G48/F48)*100</f>
        <v>87.001750783844685</v>
      </c>
      <c r="J48" s="477"/>
    </row>
    <row r="49" spans="1:10" x14ac:dyDescent="0.2">
      <c r="A49" s="477"/>
      <c r="B49" s="477"/>
      <c r="C49" s="477"/>
      <c r="D49" s="477"/>
      <c r="E49" s="477"/>
      <c r="F49" s="477"/>
      <c r="G49" s="477"/>
      <c r="H49" s="477"/>
      <c r="I49" s="477"/>
      <c r="J49" s="477"/>
    </row>
  </sheetData>
  <mergeCells count="10">
    <mergeCell ref="B38:C38"/>
    <mergeCell ref="I26:I27"/>
    <mergeCell ref="G26:G27"/>
    <mergeCell ref="A26:A27"/>
    <mergeCell ref="A30:C30"/>
    <mergeCell ref="C26:C27"/>
    <mergeCell ref="D26:D27"/>
    <mergeCell ref="E26:E27"/>
    <mergeCell ref="B26:B27"/>
    <mergeCell ref="H26:H27"/>
  </mergeCells>
  <printOptions horizontalCentered="1"/>
  <pageMargins left="0.23622047244094491" right="0" top="0.19685039370078741" bottom="0.19685039370078741" header="0" footer="0"/>
  <pageSetup paperSize="9" scale="78" fitToHeight="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2:L53"/>
  <sheetViews>
    <sheetView topLeftCell="A22" workbookViewId="0">
      <selection activeCell="H48" sqref="H48"/>
    </sheetView>
  </sheetViews>
  <sheetFormatPr defaultColWidth="9.140625" defaultRowHeight="12.75" x14ac:dyDescent="0.2"/>
  <cols>
    <col min="1" max="1" width="11.42578125" style="477" customWidth="1"/>
    <col min="2" max="2" width="12.140625" style="477" customWidth="1"/>
    <col min="3" max="3" width="47.28515625" style="477" customWidth="1"/>
    <col min="4" max="4" width="36.85546875" style="477" customWidth="1"/>
    <col min="5" max="5" width="13.28515625" style="477" customWidth="1"/>
    <col min="6" max="6" width="16.7109375" style="477" customWidth="1"/>
    <col min="7" max="7" width="13.28515625" style="477" customWidth="1"/>
    <col min="8" max="8" width="13.28515625" style="478" customWidth="1"/>
    <col min="9" max="9" width="14.7109375" style="478" customWidth="1"/>
    <col min="10" max="16384" width="9.140625" style="477"/>
  </cols>
  <sheetData>
    <row r="2" spans="1:12" s="486" customFormat="1" ht="15.75" x14ac:dyDescent="0.25">
      <c r="A2" s="546" t="s">
        <v>145</v>
      </c>
      <c r="H2" s="545"/>
      <c r="I2" s="545"/>
    </row>
    <row r="3" spans="1:12" ht="13.5" thickBot="1" x14ac:dyDescent="0.25">
      <c r="I3" s="191" t="s">
        <v>595</v>
      </c>
    </row>
    <row r="4" spans="1:12" ht="14.1" customHeight="1" x14ac:dyDescent="0.2">
      <c r="A4" s="11" t="s">
        <v>1</v>
      </c>
      <c r="B4" s="3" t="s">
        <v>2</v>
      </c>
      <c r="C4" s="12" t="s">
        <v>3</v>
      </c>
      <c r="D4" s="504"/>
      <c r="E4" s="3" t="s">
        <v>4</v>
      </c>
      <c r="F4" s="3" t="s">
        <v>372</v>
      </c>
      <c r="G4" s="37" t="s">
        <v>306</v>
      </c>
      <c r="H4" s="37" t="s">
        <v>373</v>
      </c>
      <c r="I4" s="373" t="s">
        <v>373</v>
      </c>
    </row>
    <row r="5" spans="1:12" ht="14.1" customHeight="1" x14ac:dyDescent="0.2">
      <c r="A5" s="13" t="s">
        <v>5</v>
      </c>
      <c r="B5" s="4" t="s">
        <v>6</v>
      </c>
      <c r="C5" s="544" t="s">
        <v>7</v>
      </c>
      <c r="D5" s="8" t="s">
        <v>8</v>
      </c>
      <c r="E5" s="4" t="s">
        <v>242</v>
      </c>
      <c r="F5" s="4" t="s">
        <v>374</v>
      </c>
      <c r="G5" s="38" t="s">
        <v>307</v>
      </c>
      <c r="H5" s="38" t="s">
        <v>375</v>
      </c>
      <c r="I5" s="374" t="s">
        <v>376</v>
      </c>
    </row>
    <row r="6" spans="1:12" ht="14.1" customHeight="1" thickBot="1" x14ac:dyDescent="0.25">
      <c r="A6" s="14" t="s">
        <v>9</v>
      </c>
      <c r="B6" s="5" t="s">
        <v>10</v>
      </c>
      <c r="C6" s="15"/>
      <c r="D6" s="16"/>
      <c r="E6" s="5" t="s">
        <v>293</v>
      </c>
      <c r="F6" s="338">
        <f>[2]Kap.01!F14</f>
        <v>44561</v>
      </c>
      <c r="G6" s="338">
        <f>F6</f>
        <v>44561</v>
      </c>
      <c r="H6" s="338" t="s">
        <v>220</v>
      </c>
      <c r="I6" s="375" t="s">
        <v>220</v>
      </c>
    </row>
    <row r="7" spans="1:12" s="486" customFormat="1" ht="15.75" x14ac:dyDescent="0.25">
      <c r="A7" s="187" t="s">
        <v>11</v>
      </c>
      <c r="B7" s="97"/>
      <c r="C7" s="188"/>
      <c r="D7" s="543"/>
      <c r="E7" s="542"/>
      <c r="F7" s="542"/>
      <c r="G7" s="542"/>
      <c r="H7" s="541"/>
      <c r="I7" s="540"/>
    </row>
    <row r="8" spans="1:12" ht="15" customHeight="1" x14ac:dyDescent="0.2">
      <c r="A8" s="25" t="s">
        <v>280</v>
      </c>
      <c r="B8" s="1043" t="s">
        <v>621</v>
      </c>
      <c r="C8" s="1044"/>
      <c r="D8" s="539"/>
      <c r="E8" s="926">
        <f>SUM(E9:E13)</f>
        <v>705</v>
      </c>
      <c r="F8" s="927">
        <f>SUM(F9:F13)</f>
        <v>4745.2</v>
      </c>
      <c r="G8" s="926">
        <f>SUM(G9:G13)</f>
        <v>1444</v>
      </c>
      <c r="H8" s="538">
        <f>(G8/E8)*100</f>
        <v>204.82269503546098</v>
      </c>
      <c r="I8" s="537">
        <f>(G8/F8)*100</f>
        <v>30.430751074770296</v>
      </c>
    </row>
    <row r="9" spans="1:12" ht="15" customHeight="1" x14ac:dyDescent="0.2">
      <c r="A9" s="27"/>
      <c r="B9" s="28"/>
      <c r="C9" s="32" t="s">
        <v>23</v>
      </c>
      <c r="D9" s="534" t="s">
        <v>146</v>
      </c>
      <c r="E9" s="535">
        <v>360</v>
      </c>
      <c r="F9" s="536">
        <v>390</v>
      </c>
      <c r="G9" s="535">
        <v>369</v>
      </c>
      <c r="H9" s="531">
        <f>(G9/E9)*100</f>
        <v>102.49999999999999</v>
      </c>
      <c r="I9" s="517">
        <f>(G9/F9)*100</f>
        <v>94.615384615384613</v>
      </c>
    </row>
    <row r="10" spans="1:12" ht="15" customHeight="1" x14ac:dyDescent="0.2">
      <c r="A10" s="27"/>
      <c r="B10" s="28"/>
      <c r="C10" s="32" t="s">
        <v>302</v>
      </c>
      <c r="D10" s="534" t="s">
        <v>151</v>
      </c>
      <c r="E10" s="853">
        <v>45</v>
      </c>
      <c r="F10" s="854">
        <v>15</v>
      </c>
      <c r="G10" s="853">
        <v>12</v>
      </c>
      <c r="H10" s="533">
        <f>(G10/E10)*100</f>
        <v>26.666666666666668</v>
      </c>
      <c r="I10" s="532">
        <f>(G10/F10)*100</f>
        <v>80</v>
      </c>
    </row>
    <row r="11" spans="1:12" ht="15" customHeight="1" x14ac:dyDescent="0.2">
      <c r="A11" s="530"/>
      <c r="B11" s="529" t="s">
        <v>443</v>
      </c>
      <c r="C11" s="528" t="s">
        <v>303</v>
      </c>
      <c r="D11" s="527" t="s">
        <v>146</v>
      </c>
      <c r="E11" s="853">
        <v>300</v>
      </c>
      <c r="F11" s="854">
        <v>400</v>
      </c>
      <c r="G11" s="853">
        <v>396</v>
      </c>
      <c r="H11" s="531">
        <f>(G11/E11)*100</f>
        <v>132</v>
      </c>
      <c r="I11" s="526">
        <f>(G11/F11)*100</f>
        <v>99</v>
      </c>
    </row>
    <row r="12" spans="1:12" ht="15" customHeight="1" x14ac:dyDescent="0.2">
      <c r="A12" s="530"/>
      <c r="B12" s="529"/>
      <c r="C12" s="528" t="s">
        <v>503</v>
      </c>
      <c r="D12" s="527" t="s">
        <v>146</v>
      </c>
      <c r="E12" s="853">
        <v>0</v>
      </c>
      <c r="F12" s="936">
        <v>1494.7</v>
      </c>
      <c r="G12" s="937">
        <v>0</v>
      </c>
      <c r="H12" s="171" t="s">
        <v>305</v>
      </c>
      <c r="I12" s="526">
        <f>(G12/F12)*100</f>
        <v>0</v>
      </c>
      <c r="L12" s="480"/>
    </row>
    <row r="13" spans="1:12" ht="15" customHeight="1" x14ac:dyDescent="0.2">
      <c r="A13" s="26"/>
      <c r="B13" s="58"/>
      <c r="C13" s="510" t="s">
        <v>444</v>
      </c>
      <c r="D13" s="518" t="s">
        <v>393</v>
      </c>
      <c r="E13" s="510">
        <v>0</v>
      </c>
      <c r="F13" s="936">
        <v>2445.5</v>
      </c>
      <c r="G13" s="518">
        <v>667</v>
      </c>
      <c r="H13" s="72" t="s">
        <v>305</v>
      </c>
      <c r="I13" s="517">
        <f>G13/F13*100</f>
        <v>27.274585974238398</v>
      </c>
    </row>
    <row r="14" spans="1:12" ht="15" customHeight="1" x14ac:dyDescent="0.2">
      <c r="A14" s="330"/>
      <c r="B14" s="331"/>
      <c r="C14" s="516"/>
      <c r="D14" s="516"/>
      <c r="E14" s="516"/>
      <c r="F14" s="938"/>
      <c r="G14" s="516"/>
      <c r="H14" s="208"/>
      <c r="I14" s="515"/>
    </row>
    <row r="15" spans="1:12" ht="15" customHeight="1" x14ac:dyDescent="0.2">
      <c r="A15" s="25" t="s">
        <v>395</v>
      </c>
      <c r="B15" s="1045" t="s">
        <v>160</v>
      </c>
      <c r="C15" s="1044"/>
      <c r="D15" s="523"/>
      <c r="E15" s="495">
        <f>E16</f>
        <v>0</v>
      </c>
      <c r="F15" s="513">
        <f>F16</f>
        <v>1287.7</v>
      </c>
      <c r="G15" s="512">
        <f>G16</f>
        <v>1284</v>
      </c>
      <c r="H15" s="329" t="s">
        <v>305</v>
      </c>
      <c r="I15" s="511">
        <v>100.02</v>
      </c>
    </row>
    <row r="16" spans="1:12" ht="15" customHeight="1" x14ac:dyDescent="0.2">
      <c r="A16" s="26"/>
      <c r="B16" s="510"/>
      <c r="C16" s="510" t="s">
        <v>394</v>
      </c>
      <c r="D16" s="510" t="s">
        <v>393</v>
      </c>
      <c r="E16" s="510">
        <v>0</v>
      </c>
      <c r="F16" s="936">
        <v>1287.7</v>
      </c>
      <c r="G16" s="937">
        <v>1284</v>
      </c>
      <c r="H16" s="72" t="s">
        <v>305</v>
      </c>
      <c r="I16" s="517">
        <f>G16/F16*100</f>
        <v>99.712665993632058</v>
      </c>
    </row>
    <row r="17" spans="1:9" ht="15" customHeight="1" x14ac:dyDescent="0.2">
      <c r="A17" s="330"/>
      <c r="B17" s="516"/>
      <c r="C17" s="516"/>
      <c r="D17" s="516"/>
      <c r="E17" s="516"/>
      <c r="F17" s="938"/>
      <c r="G17" s="939"/>
      <c r="H17" s="208"/>
      <c r="I17" s="515"/>
    </row>
    <row r="18" spans="1:9" ht="15" customHeight="1" x14ac:dyDescent="0.2">
      <c r="A18" s="25" t="s">
        <v>397</v>
      </c>
      <c r="B18" s="520" t="s">
        <v>272</v>
      </c>
      <c r="C18" s="525"/>
      <c r="D18" s="524"/>
      <c r="E18" s="512">
        <f>E19</f>
        <v>0</v>
      </c>
      <c r="F18" s="513">
        <f>F19</f>
        <v>308.8</v>
      </c>
      <c r="G18" s="512">
        <f>G19</f>
        <v>309</v>
      </c>
      <c r="H18" s="329" t="s">
        <v>305</v>
      </c>
      <c r="I18" s="511">
        <f>I19</f>
        <v>100.06476683937824</v>
      </c>
    </row>
    <row r="19" spans="1:9" ht="15" customHeight="1" x14ac:dyDescent="0.2">
      <c r="A19" s="26"/>
      <c r="B19" s="510"/>
      <c r="C19" s="510" t="s">
        <v>394</v>
      </c>
      <c r="D19" s="518" t="s">
        <v>393</v>
      </c>
      <c r="E19" s="510">
        <v>0</v>
      </c>
      <c r="F19" s="936">
        <v>308.8</v>
      </c>
      <c r="G19" s="937">
        <v>309</v>
      </c>
      <c r="H19" s="72" t="s">
        <v>305</v>
      </c>
      <c r="I19" s="517">
        <f>G19/F19*100</f>
        <v>100.06476683937824</v>
      </c>
    </row>
    <row r="20" spans="1:9" ht="15" customHeight="1" x14ac:dyDescent="0.2">
      <c r="A20" s="330"/>
      <c r="B20" s="516"/>
      <c r="C20" s="516"/>
      <c r="D20" s="516"/>
      <c r="E20" s="516"/>
      <c r="F20" s="938"/>
      <c r="G20" s="939"/>
      <c r="H20" s="208"/>
      <c r="I20" s="515"/>
    </row>
    <row r="21" spans="1:9" ht="15" customHeight="1" x14ac:dyDescent="0.2">
      <c r="A21" s="25" t="s">
        <v>396</v>
      </c>
      <c r="B21" s="520" t="s">
        <v>210</v>
      </c>
      <c r="C21" s="507"/>
      <c r="D21" s="523"/>
      <c r="E21" s="495">
        <f>E22</f>
        <v>0</v>
      </c>
      <c r="F21" s="513">
        <f>F22</f>
        <v>176.1</v>
      </c>
      <c r="G21" s="512">
        <f>G22</f>
        <v>169</v>
      </c>
      <c r="H21" s="189" t="s">
        <v>305</v>
      </c>
      <c r="I21" s="511">
        <f>G21/F21*100</f>
        <v>95.968199886428181</v>
      </c>
    </row>
    <row r="22" spans="1:9" ht="15" customHeight="1" x14ac:dyDescent="0.2">
      <c r="A22" s="26"/>
      <c r="B22" s="510"/>
      <c r="C22" s="510" t="s">
        <v>394</v>
      </c>
      <c r="D22" s="518" t="s">
        <v>393</v>
      </c>
      <c r="E22" s="510">
        <v>0</v>
      </c>
      <c r="F22" s="936">
        <v>176.1</v>
      </c>
      <c r="G22" s="937">
        <v>169</v>
      </c>
      <c r="H22" s="72" t="s">
        <v>305</v>
      </c>
      <c r="I22" s="517">
        <f>G22/F22*100</f>
        <v>95.968199886428181</v>
      </c>
    </row>
    <row r="23" spans="1:9" ht="15" customHeight="1" x14ac:dyDescent="0.2">
      <c r="A23" s="330"/>
      <c r="B23" s="516"/>
      <c r="C23" s="516"/>
      <c r="D23" s="516"/>
      <c r="E23" s="516"/>
      <c r="F23" s="938"/>
      <c r="G23" s="939"/>
      <c r="H23" s="208"/>
      <c r="I23" s="515"/>
    </row>
    <row r="24" spans="1:9" ht="15" customHeight="1" x14ac:dyDescent="0.2">
      <c r="A24" s="443" t="s">
        <v>504</v>
      </c>
      <c r="B24" s="520" t="s">
        <v>268</v>
      </c>
      <c r="C24" s="522"/>
      <c r="D24" s="516"/>
      <c r="E24" s="495">
        <f>E25</f>
        <v>0</v>
      </c>
      <c r="F24" s="513">
        <f>F25</f>
        <v>130.69999999999999</v>
      </c>
      <c r="G24" s="512">
        <f>G25</f>
        <v>130.69999999999999</v>
      </c>
      <c r="H24" s="189" t="s">
        <v>305</v>
      </c>
      <c r="I24" s="511">
        <f>G24/F24*100</f>
        <v>100</v>
      </c>
    </row>
    <row r="25" spans="1:9" ht="15" customHeight="1" x14ac:dyDescent="0.2">
      <c r="A25" s="443"/>
      <c r="B25" s="521"/>
      <c r="C25" s="510" t="s">
        <v>394</v>
      </c>
      <c r="D25" s="518" t="s">
        <v>393</v>
      </c>
      <c r="E25" s="510">
        <v>0</v>
      </c>
      <c r="F25" s="936">
        <v>130.69999999999999</v>
      </c>
      <c r="G25" s="937">
        <v>130.69999999999999</v>
      </c>
      <c r="H25" s="72" t="s">
        <v>305</v>
      </c>
      <c r="I25" s="517">
        <f>G25/F25*100</f>
        <v>100</v>
      </c>
    </row>
    <row r="26" spans="1:9" ht="15" customHeight="1" x14ac:dyDescent="0.2">
      <c r="A26" s="330"/>
      <c r="B26" s="331"/>
      <c r="C26" s="516"/>
      <c r="D26" s="516"/>
      <c r="E26" s="516"/>
      <c r="F26" s="938"/>
      <c r="G26" s="516"/>
      <c r="H26" s="208"/>
      <c r="I26" s="515"/>
    </row>
    <row r="27" spans="1:9" ht="15" customHeight="1" x14ac:dyDescent="0.2">
      <c r="A27" s="25" t="s">
        <v>455</v>
      </c>
      <c r="B27" s="520" t="s">
        <v>456</v>
      </c>
      <c r="C27" s="507"/>
      <c r="D27" s="518"/>
      <c r="E27" s="519">
        <v>0</v>
      </c>
      <c r="F27" s="940">
        <f>SUM(F28:F33)</f>
        <v>45.800000000000004</v>
      </c>
      <c r="G27" s="512">
        <f>SUM(G28:G33)</f>
        <v>46</v>
      </c>
      <c r="H27" s="189" t="s">
        <v>305</v>
      </c>
      <c r="I27" s="511">
        <f t="shared" ref="I27:I33" si="0">G27/F27*100</f>
        <v>100.43668122270742</v>
      </c>
    </row>
    <row r="28" spans="1:9" ht="15" customHeight="1" x14ac:dyDescent="0.2">
      <c r="A28" s="26"/>
      <c r="B28" s="339">
        <v>106</v>
      </c>
      <c r="C28" s="510" t="s">
        <v>394</v>
      </c>
      <c r="D28" s="518" t="s">
        <v>393</v>
      </c>
      <c r="E28" s="510">
        <v>0</v>
      </c>
      <c r="F28" s="936">
        <v>2.9</v>
      </c>
      <c r="G28" s="937">
        <v>3</v>
      </c>
      <c r="H28" s="72" t="s">
        <v>305</v>
      </c>
      <c r="I28" s="517">
        <f t="shared" si="0"/>
        <v>103.44827586206897</v>
      </c>
    </row>
    <row r="29" spans="1:9" ht="15" customHeight="1" x14ac:dyDescent="0.2">
      <c r="A29" s="26"/>
      <c r="B29" s="339">
        <v>112</v>
      </c>
      <c r="C29" s="510" t="s">
        <v>394</v>
      </c>
      <c r="D29" s="518" t="s">
        <v>393</v>
      </c>
      <c r="E29" s="510">
        <v>0</v>
      </c>
      <c r="F29" s="936">
        <v>3</v>
      </c>
      <c r="G29" s="937">
        <v>3</v>
      </c>
      <c r="H29" s="72" t="s">
        <v>305</v>
      </c>
      <c r="I29" s="517">
        <f t="shared" si="0"/>
        <v>100</v>
      </c>
    </row>
    <row r="30" spans="1:9" ht="15" customHeight="1" x14ac:dyDescent="0.2">
      <c r="A30" s="26"/>
      <c r="B30" s="339">
        <v>115</v>
      </c>
      <c r="C30" s="510" t="s">
        <v>394</v>
      </c>
      <c r="D30" s="518" t="s">
        <v>393</v>
      </c>
      <c r="E30" s="510">
        <v>0</v>
      </c>
      <c r="F30" s="936">
        <v>2.7</v>
      </c>
      <c r="G30" s="937">
        <v>3</v>
      </c>
      <c r="H30" s="72" t="s">
        <v>305</v>
      </c>
      <c r="I30" s="517">
        <f t="shared" si="0"/>
        <v>111.1111111111111</v>
      </c>
    </row>
    <row r="31" spans="1:9" ht="15" customHeight="1" x14ac:dyDescent="0.2">
      <c r="A31" s="26"/>
      <c r="B31" s="339">
        <v>119</v>
      </c>
      <c r="C31" s="510" t="s">
        <v>394</v>
      </c>
      <c r="D31" s="518" t="s">
        <v>393</v>
      </c>
      <c r="E31" s="510">
        <v>0</v>
      </c>
      <c r="F31" s="936">
        <v>18.899999999999999</v>
      </c>
      <c r="G31" s="937">
        <v>19</v>
      </c>
      <c r="H31" s="72" t="s">
        <v>305</v>
      </c>
      <c r="I31" s="517">
        <f t="shared" si="0"/>
        <v>100.52910052910053</v>
      </c>
    </row>
    <row r="32" spans="1:9" ht="15" customHeight="1" x14ac:dyDescent="0.2">
      <c r="A32" s="26"/>
      <c r="B32" s="339">
        <v>214</v>
      </c>
      <c r="C32" s="510" t="s">
        <v>394</v>
      </c>
      <c r="D32" s="518" t="s">
        <v>393</v>
      </c>
      <c r="E32" s="510">
        <v>0</v>
      </c>
      <c r="F32" s="936">
        <v>9.6999999999999993</v>
      </c>
      <c r="G32" s="937">
        <v>10</v>
      </c>
      <c r="H32" s="72" t="s">
        <v>305</v>
      </c>
      <c r="I32" s="517">
        <f t="shared" si="0"/>
        <v>103.09278350515466</v>
      </c>
    </row>
    <row r="33" spans="1:9" ht="15" customHeight="1" x14ac:dyDescent="0.2">
      <c r="A33" s="26"/>
      <c r="B33" s="339">
        <v>218</v>
      </c>
      <c r="C33" s="510" t="s">
        <v>394</v>
      </c>
      <c r="D33" s="518" t="s">
        <v>393</v>
      </c>
      <c r="E33" s="510">
        <v>0</v>
      </c>
      <c r="F33" s="936">
        <v>8.6</v>
      </c>
      <c r="G33" s="937">
        <v>8</v>
      </c>
      <c r="H33" s="72" t="s">
        <v>305</v>
      </c>
      <c r="I33" s="517">
        <f t="shared" si="0"/>
        <v>93.023255813953483</v>
      </c>
    </row>
    <row r="34" spans="1:9" ht="15" customHeight="1" x14ac:dyDescent="0.2">
      <c r="A34" s="330"/>
      <c r="B34" s="516"/>
      <c r="C34" s="516"/>
      <c r="D34" s="516"/>
      <c r="E34" s="516"/>
      <c r="F34" s="938"/>
      <c r="G34" s="939"/>
      <c r="H34" s="208"/>
      <c r="I34" s="515"/>
    </row>
    <row r="35" spans="1:9" ht="15" customHeight="1" x14ac:dyDescent="0.2">
      <c r="A35" s="25" t="s">
        <v>401</v>
      </c>
      <c r="B35" s="495" t="s">
        <v>204</v>
      </c>
      <c r="C35" s="507"/>
      <c r="D35" s="514"/>
      <c r="E35" s="495">
        <f>E36</f>
        <v>0</v>
      </c>
      <c r="F35" s="513">
        <f>F36+F37</f>
        <v>2635.2</v>
      </c>
      <c r="G35" s="512">
        <f>G36</f>
        <v>2174</v>
      </c>
      <c r="H35" s="189" t="s">
        <v>305</v>
      </c>
      <c r="I35" s="511">
        <f>G35/F35*100</f>
        <v>82.498482088646028</v>
      </c>
    </row>
    <row r="36" spans="1:9" ht="15" customHeight="1" x14ac:dyDescent="0.2">
      <c r="A36" s="25"/>
      <c r="B36" s="509"/>
      <c r="C36" s="510" t="s">
        <v>394</v>
      </c>
      <c r="D36" s="508" t="s">
        <v>393</v>
      </c>
      <c r="E36" s="507">
        <v>0</v>
      </c>
      <c r="F36" s="941">
        <v>2585.1999999999998</v>
      </c>
      <c r="G36" s="942">
        <v>2174</v>
      </c>
      <c r="H36" s="475" t="s">
        <v>305</v>
      </c>
      <c r="I36" s="506">
        <f>G36/F36*100</f>
        <v>84.094073959461554</v>
      </c>
    </row>
    <row r="37" spans="1:9" ht="15" customHeight="1" thickBot="1" x14ac:dyDescent="0.25">
      <c r="A37" s="63"/>
      <c r="B37" s="64">
        <v>127</v>
      </c>
      <c r="C37" s="509" t="s">
        <v>533</v>
      </c>
      <c r="D37" s="508" t="s">
        <v>393</v>
      </c>
      <c r="E37" s="507">
        <v>0</v>
      </c>
      <c r="F37" s="941">
        <v>50</v>
      </c>
      <c r="G37" s="942">
        <v>0</v>
      </c>
      <c r="H37" s="190" t="s">
        <v>305</v>
      </c>
      <c r="I37" s="506">
        <f>G37/F37*100</f>
        <v>0</v>
      </c>
    </row>
    <row r="38" spans="1:9" s="486" customFormat="1" ht="16.5" thickBot="1" x14ac:dyDescent="0.3">
      <c r="A38" s="1024" t="s">
        <v>16</v>
      </c>
      <c r="B38" s="1025"/>
      <c r="C38" s="1026"/>
      <c r="D38" s="505"/>
      <c r="E38" s="428">
        <f>E8+E15+E18+E21+E35</f>
        <v>705</v>
      </c>
      <c r="F38" s="441">
        <f>F8+F15+F18+F21+F24+F35+F27</f>
        <v>9329.5</v>
      </c>
      <c r="G38" s="428">
        <f>G8+G15+G18+G21+G24+G35+G27</f>
        <v>5556.7</v>
      </c>
      <c r="H38" s="416">
        <f>G38/E38*100</f>
        <v>788.18439716312059</v>
      </c>
      <c r="I38" s="420">
        <f>G38/F38*100</f>
        <v>59.560533790664017</v>
      </c>
    </row>
    <row r="39" spans="1:9" s="486" customFormat="1" ht="16.5" thickBot="1" x14ac:dyDescent="0.3">
      <c r="A39" s="491"/>
      <c r="B39" s="491"/>
      <c r="C39" s="491"/>
      <c r="D39" s="491"/>
      <c r="E39" s="489"/>
      <c r="F39" s="490"/>
      <c r="G39" s="489"/>
      <c r="H39" s="488"/>
      <c r="I39" s="487"/>
    </row>
    <row r="40" spans="1:9" s="486" customFormat="1" ht="15" x14ac:dyDescent="0.2">
      <c r="A40" s="6" t="s">
        <v>1</v>
      </c>
      <c r="B40" s="3" t="s">
        <v>2</v>
      </c>
      <c r="C40" s="291" t="s">
        <v>3</v>
      </c>
      <c r="D40" s="504"/>
      <c r="E40" s="51" t="s">
        <v>4</v>
      </c>
      <c r="F40" s="51" t="s">
        <v>372</v>
      </c>
      <c r="G40" s="51" t="s">
        <v>306</v>
      </c>
      <c r="H40" s="51" t="s">
        <v>373</v>
      </c>
      <c r="I40" s="76" t="s">
        <v>373</v>
      </c>
    </row>
    <row r="41" spans="1:9" s="486" customFormat="1" ht="15" x14ac:dyDescent="0.2">
      <c r="A41" s="7" t="s">
        <v>5</v>
      </c>
      <c r="B41" s="4" t="s">
        <v>6</v>
      </c>
      <c r="C41" s="293" t="s">
        <v>7</v>
      </c>
      <c r="D41" s="8" t="s">
        <v>8</v>
      </c>
      <c r="E41" s="52" t="s">
        <v>242</v>
      </c>
      <c r="F41" s="52" t="s">
        <v>374</v>
      </c>
      <c r="G41" s="52" t="s">
        <v>307</v>
      </c>
      <c r="H41" s="52" t="s">
        <v>375</v>
      </c>
      <c r="I41" s="77" t="s">
        <v>376</v>
      </c>
    </row>
    <row r="42" spans="1:9" s="486" customFormat="1" ht="15.75" thickBot="1" x14ac:dyDescent="0.25">
      <c r="A42" s="54" t="s">
        <v>9</v>
      </c>
      <c r="B42" s="5" t="s">
        <v>10</v>
      </c>
      <c r="C42" s="317"/>
      <c r="D42" s="16"/>
      <c r="E42" s="503" t="s">
        <v>293</v>
      </c>
      <c r="F42" s="338">
        <v>44561</v>
      </c>
      <c r="G42" s="338">
        <v>44551</v>
      </c>
      <c r="H42" s="53" t="s">
        <v>220</v>
      </c>
      <c r="I42" s="78" t="s">
        <v>220</v>
      </c>
    </row>
    <row r="43" spans="1:9" s="486" customFormat="1" ht="15.75" x14ac:dyDescent="0.25">
      <c r="A43" s="46" t="s">
        <v>310</v>
      </c>
      <c r="B43" s="97"/>
      <c r="C43" s="502"/>
      <c r="D43" s="501"/>
      <c r="E43" s="170"/>
      <c r="F43" s="943"/>
      <c r="G43" s="170"/>
      <c r="H43" s="498"/>
      <c r="I43" s="497"/>
    </row>
    <row r="44" spans="1:9" s="486" customFormat="1" ht="15" x14ac:dyDescent="0.2">
      <c r="A44" s="31" t="s">
        <v>280</v>
      </c>
      <c r="B44" s="1021" t="s">
        <v>621</v>
      </c>
      <c r="C44" s="1021"/>
      <c r="D44" s="496"/>
      <c r="E44" s="495">
        <f>SUM(E45)</f>
        <v>0</v>
      </c>
      <c r="F44" s="886">
        <f>SUM(F45)</f>
        <v>360</v>
      </c>
      <c r="G44" s="885">
        <f>SUM(G45)</f>
        <v>159</v>
      </c>
      <c r="H44" s="73" t="s">
        <v>305</v>
      </c>
      <c r="I44" s="494">
        <f>(G44/F44)*100</f>
        <v>44.166666666666664</v>
      </c>
    </row>
    <row r="45" spans="1:9" s="486" customFormat="1" ht="15.75" thickBot="1" x14ac:dyDescent="0.25">
      <c r="A45" s="774" t="s">
        <v>280</v>
      </c>
      <c r="B45" s="174"/>
      <c r="C45" s="41" t="s">
        <v>620</v>
      </c>
      <c r="D45" s="175" t="s">
        <v>635</v>
      </c>
      <c r="E45" s="752">
        <v>0</v>
      </c>
      <c r="F45" s="899">
        <v>360</v>
      </c>
      <c r="G45" s="752">
        <v>159</v>
      </c>
      <c r="H45" s="752" t="s">
        <v>305</v>
      </c>
      <c r="I45" s="794">
        <f>G45/F45*100</f>
        <v>44.166666666666664</v>
      </c>
    </row>
    <row r="46" spans="1:9" s="486" customFormat="1" ht="16.5" thickBot="1" x14ac:dyDescent="0.3">
      <c r="A46" s="493" t="s">
        <v>315</v>
      </c>
      <c r="B46" s="483"/>
      <c r="C46" s="483"/>
      <c r="D46" s="483"/>
      <c r="E46" s="929">
        <f>E44</f>
        <v>0</v>
      </c>
      <c r="F46" s="928">
        <f>F44</f>
        <v>360</v>
      </c>
      <c r="G46" s="929">
        <f>G44</f>
        <v>159</v>
      </c>
      <c r="H46" s="178" t="s">
        <v>305</v>
      </c>
      <c r="I46" s="492">
        <f>G46/F46*100</f>
        <v>44.166666666666664</v>
      </c>
    </row>
    <row r="47" spans="1:9" s="486" customFormat="1" ht="16.5" thickBot="1" x14ac:dyDescent="0.3">
      <c r="A47" s="491"/>
      <c r="B47" s="491"/>
      <c r="C47" s="491"/>
      <c r="D47" s="491"/>
      <c r="E47" s="489"/>
      <c r="F47" s="490"/>
      <c r="G47" s="489"/>
      <c r="H47" s="488"/>
      <c r="I47" s="487"/>
    </row>
    <row r="48" spans="1:9" ht="16.5" thickBot="1" x14ac:dyDescent="0.3">
      <c r="A48" s="86" t="s">
        <v>491</v>
      </c>
      <c r="B48" s="485"/>
      <c r="C48" s="484"/>
      <c r="D48" s="483"/>
      <c r="E48" s="481">
        <f>E38+E46</f>
        <v>705</v>
      </c>
      <c r="F48" s="482">
        <f>F38+F46</f>
        <v>9689.5</v>
      </c>
      <c r="G48" s="481">
        <f>G38+G46</f>
        <v>5715.7</v>
      </c>
      <c r="H48" s="416">
        <f>G48/E48*100</f>
        <v>810.73758865248226</v>
      </c>
      <c r="I48" s="420">
        <f>(G48/F48)*100</f>
        <v>58.988595902781363</v>
      </c>
    </row>
    <row r="51" spans="6:7" x14ac:dyDescent="0.2">
      <c r="F51" s="479"/>
      <c r="G51" s="480"/>
    </row>
    <row r="53" spans="6:7" x14ac:dyDescent="0.2">
      <c r="F53" s="479"/>
      <c r="G53" s="479"/>
    </row>
  </sheetData>
  <mergeCells count="4">
    <mergeCell ref="B44:C44"/>
    <mergeCell ref="B8:C8"/>
    <mergeCell ref="A38:C38"/>
    <mergeCell ref="B15:C15"/>
  </mergeCells>
  <printOptions horizontalCentered="1"/>
  <pageMargins left="0.23622047244094491" right="0" top="0.19685039370078741" bottom="0" header="0" footer="0"/>
  <pageSetup paperSize="9" scale="78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K64"/>
  <sheetViews>
    <sheetView topLeftCell="A31" workbookViewId="0">
      <selection activeCell="G52" sqref="G52"/>
    </sheetView>
  </sheetViews>
  <sheetFormatPr defaultColWidth="9.140625" defaultRowHeight="12.75" x14ac:dyDescent="0.2"/>
  <cols>
    <col min="1" max="1" width="10.42578125" style="659" customWidth="1"/>
    <col min="2" max="2" width="12.7109375" style="477" customWidth="1"/>
    <col min="3" max="3" width="57" style="477" customWidth="1"/>
    <col min="4" max="4" width="40.7109375" style="658" customWidth="1"/>
    <col min="5" max="5" width="13.140625" style="477" customWidth="1"/>
    <col min="6" max="6" width="16.85546875" style="477" customWidth="1"/>
    <col min="7" max="7" width="11.7109375" style="477" customWidth="1"/>
    <col min="8" max="8" width="9.28515625" style="478" customWidth="1"/>
    <col min="9" max="9" width="8.85546875" style="478" customWidth="1"/>
    <col min="10" max="16384" width="9.140625" style="477"/>
  </cols>
  <sheetData>
    <row r="1" spans="1:11" s="486" customFormat="1" ht="15.75" x14ac:dyDescent="0.25">
      <c r="A1" s="1046" t="s">
        <v>153</v>
      </c>
      <c r="B1" s="1046"/>
      <c r="C1" s="1046"/>
      <c r="D1" s="1046"/>
      <c r="H1" s="545"/>
      <c r="I1" s="545"/>
    </row>
    <row r="2" spans="1:11" ht="13.5" thickBot="1" x14ac:dyDescent="0.25">
      <c r="A2" s="704"/>
      <c r="B2" s="547"/>
      <c r="C2" s="547"/>
      <c r="D2" s="548"/>
      <c r="I2" s="191" t="s">
        <v>594</v>
      </c>
    </row>
    <row r="3" spans="1:11" x14ac:dyDescent="0.2">
      <c r="A3" s="11" t="s">
        <v>1</v>
      </c>
      <c r="B3" s="51" t="s">
        <v>2</v>
      </c>
      <c r="C3" s="550" t="s">
        <v>3</v>
      </c>
      <c r="D3" s="551"/>
      <c r="E3" s="51" t="s">
        <v>4</v>
      </c>
      <c r="F3" s="3" t="s">
        <v>372</v>
      </c>
      <c r="G3" s="37" t="s">
        <v>306</v>
      </c>
      <c r="H3" s="552" t="s">
        <v>373</v>
      </c>
      <c r="I3" s="553" t="s">
        <v>373</v>
      </c>
    </row>
    <row r="4" spans="1:11" x14ac:dyDescent="0.2">
      <c r="A4" s="13" t="s">
        <v>5</v>
      </c>
      <c r="B4" s="52" t="s">
        <v>6</v>
      </c>
      <c r="C4" s="555" t="s">
        <v>7</v>
      </c>
      <c r="D4" s="556" t="s">
        <v>8</v>
      </c>
      <c r="E4" s="52" t="s">
        <v>242</v>
      </c>
      <c r="F4" s="4" t="s">
        <v>374</v>
      </c>
      <c r="G4" s="38" t="s">
        <v>307</v>
      </c>
      <c r="H4" s="557" t="s">
        <v>375</v>
      </c>
      <c r="I4" s="558" t="s">
        <v>376</v>
      </c>
    </row>
    <row r="5" spans="1:11" ht="13.5" thickBot="1" x14ac:dyDescent="0.25">
      <c r="A5" s="14" t="s">
        <v>9</v>
      </c>
      <c r="B5" s="503" t="s">
        <v>10</v>
      </c>
      <c r="C5" s="560"/>
      <c r="D5" s="561"/>
      <c r="E5" s="503" t="s">
        <v>293</v>
      </c>
      <c r="F5" s="338">
        <f>[2]Kap.01!F14</f>
        <v>44561</v>
      </c>
      <c r="G5" s="338">
        <f>F5</f>
        <v>44561</v>
      </c>
      <c r="H5" s="562" t="s">
        <v>220</v>
      </c>
      <c r="I5" s="563" t="s">
        <v>220</v>
      </c>
    </row>
    <row r="6" spans="1:11" s="486" customFormat="1" ht="15.75" x14ac:dyDescent="0.25">
      <c r="A6" s="976" t="s">
        <v>11</v>
      </c>
      <c r="B6" s="564"/>
      <c r="C6" s="565"/>
      <c r="D6" s="566"/>
      <c r="E6" s="567"/>
      <c r="F6" s="568"/>
      <c r="G6" s="568"/>
      <c r="H6" s="569"/>
      <c r="I6" s="570"/>
    </row>
    <row r="7" spans="1:11" x14ac:dyDescent="0.2">
      <c r="A7" s="977" t="s">
        <v>154</v>
      </c>
      <c r="B7" s="571" t="s">
        <v>210</v>
      </c>
      <c r="C7" s="572"/>
      <c r="D7" s="573"/>
      <c r="E7" s="944">
        <f>SUM(E8:E13)</f>
        <v>14119</v>
      </c>
      <c r="F7" s="945">
        <f>SUM(F8:F13)</f>
        <v>14880.9</v>
      </c>
      <c r="G7" s="944">
        <f>SUM(G8:G13)</f>
        <v>13683</v>
      </c>
      <c r="H7" s="574">
        <f t="shared" ref="H7:H17" si="0">(G7/E7)*100</f>
        <v>96.911962603583817</v>
      </c>
      <c r="I7" s="575">
        <f>(G7/F7)*100</f>
        <v>91.950083664294496</v>
      </c>
    </row>
    <row r="8" spans="1:11" ht="15" customHeight="1" x14ac:dyDescent="0.2">
      <c r="A8" s="978"/>
      <c r="B8" s="576"/>
      <c r="C8" s="577" t="s">
        <v>23</v>
      </c>
      <c r="D8" s="578" t="s">
        <v>155</v>
      </c>
      <c r="E8" s="946">
        <v>1452</v>
      </c>
      <c r="F8" s="947">
        <v>1583.9</v>
      </c>
      <c r="G8" s="946">
        <v>1336</v>
      </c>
      <c r="H8" s="579">
        <f t="shared" si="0"/>
        <v>92.011019283746549</v>
      </c>
      <c r="I8" s="526">
        <f t="shared" ref="I8:I17" si="1">(G8/F8)*100</f>
        <v>84.348759391375722</v>
      </c>
    </row>
    <row r="9" spans="1:11" ht="15" customHeight="1" x14ac:dyDescent="0.2">
      <c r="A9" s="979"/>
      <c r="B9" s="580"/>
      <c r="C9" s="581" t="s">
        <v>489</v>
      </c>
      <c r="D9" s="578" t="s">
        <v>155</v>
      </c>
      <c r="E9" s="583">
        <v>3845</v>
      </c>
      <c r="F9" s="582">
        <v>3845</v>
      </c>
      <c r="G9" s="583">
        <v>3845</v>
      </c>
      <c r="H9" s="579">
        <f t="shared" si="0"/>
        <v>100</v>
      </c>
      <c r="I9" s="526">
        <f t="shared" si="1"/>
        <v>100</v>
      </c>
    </row>
    <row r="10" spans="1:11" ht="15" customHeight="1" x14ac:dyDescent="0.2">
      <c r="A10" s="979"/>
      <c r="B10" s="580"/>
      <c r="C10" s="584" t="s">
        <v>237</v>
      </c>
      <c r="D10" s="578" t="s">
        <v>155</v>
      </c>
      <c r="E10" s="583">
        <v>1452</v>
      </c>
      <c r="F10" s="582">
        <v>1452</v>
      </c>
      <c r="G10" s="583">
        <v>1452</v>
      </c>
      <c r="H10" s="579">
        <f t="shared" si="0"/>
        <v>100</v>
      </c>
      <c r="I10" s="526">
        <f t="shared" si="1"/>
        <v>100</v>
      </c>
    </row>
    <row r="11" spans="1:11" ht="24.75" customHeight="1" x14ac:dyDescent="0.2">
      <c r="A11" s="979"/>
      <c r="B11" s="580"/>
      <c r="C11" s="581" t="s">
        <v>487</v>
      </c>
      <c r="D11" s="578" t="s">
        <v>155</v>
      </c>
      <c r="E11" s="583">
        <v>70</v>
      </c>
      <c r="F11" s="582">
        <v>100</v>
      </c>
      <c r="G11" s="583">
        <v>83</v>
      </c>
      <c r="H11" s="579">
        <f t="shared" si="0"/>
        <v>118.57142857142857</v>
      </c>
      <c r="I11" s="526">
        <f t="shared" si="1"/>
        <v>83</v>
      </c>
    </row>
    <row r="12" spans="1:11" ht="15" customHeight="1" x14ac:dyDescent="0.2">
      <c r="A12" s="979"/>
      <c r="B12" s="580"/>
      <c r="C12" s="581" t="s">
        <v>649</v>
      </c>
      <c r="D12" s="578" t="s">
        <v>155</v>
      </c>
      <c r="E12" s="583">
        <v>4000</v>
      </c>
      <c r="F12" s="582">
        <v>4000</v>
      </c>
      <c r="G12" s="583">
        <v>3138</v>
      </c>
      <c r="H12" s="579">
        <f t="shared" si="0"/>
        <v>78.45</v>
      </c>
      <c r="I12" s="526">
        <f t="shared" si="1"/>
        <v>78.45</v>
      </c>
      <c r="J12" s="585"/>
    </row>
    <row r="13" spans="1:11" ht="15" customHeight="1" x14ac:dyDescent="0.2">
      <c r="A13" s="979"/>
      <c r="B13" s="580"/>
      <c r="C13" s="584" t="s">
        <v>273</v>
      </c>
      <c r="D13" s="578" t="s">
        <v>155</v>
      </c>
      <c r="E13" s="583">
        <v>3300</v>
      </c>
      <c r="F13" s="582">
        <v>3900</v>
      </c>
      <c r="G13" s="583">
        <v>3829</v>
      </c>
      <c r="H13" s="579">
        <f t="shared" si="0"/>
        <v>116.03030303030305</v>
      </c>
      <c r="I13" s="526">
        <f t="shared" si="1"/>
        <v>98.179487179487182</v>
      </c>
      <c r="J13" s="585"/>
      <c r="K13" s="586"/>
    </row>
    <row r="14" spans="1:11" x14ac:dyDescent="0.2">
      <c r="A14" s="979"/>
      <c r="B14" s="587"/>
      <c r="C14" s="584"/>
      <c r="D14" s="578"/>
      <c r="E14" s="948"/>
      <c r="F14" s="949"/>
      <c r="G14" s="948"/>
      <c r="H14" s="579"/>
      <c r="I14" s="526"/>
      <c r="J14" s="585"/>
      <c r="K14" s="586"/>
    </row>
    <row r="15" spans="1:11" x14ac:dyDescent="0.2">
      <c r="A15" s="31" t="s">
        <v>211</v>
      </c>
      <c r="B15" s="1047" t="s">
        <v>207</v>
      </c>
      <c r="C15" s="1048"/>
      <c r="D15" s="589"/>
      <c r="E15" s="950">
        <f>E16</f>
        <v>500</v>
      </c>
      <c r="F15" s="951">
        <f t="shared" ref="F15:G15" si="2">F16</f>
        <v>790</v>
      </c>
      <c r="G15" s="950">
        <f t="shared" si="2"/>
        <v>693</v>
      </c>
      <c r="H15" s="538">
        <f t="shared" si="0"/>
        <v>138.6</v>
      </c>
      <c r="I15" s="537">
        <f t="shared" si="1"/>
        <v>87.721518987341767</v>
      </c>
    </row>
    <row r="16" spans="1:11" ht="13.5" thickBot="1" x14ac:dyDescent="0.25">
      <c r="A16" s="980"/>
      <c r="B16" s="590"/>
      <c r="C16" s="591" t="s">
        <v>156</v>
      </c>
      <c r="D16" s="592" t="s">
        <v>157</v>
      </c>
      <c r="E16" s="946">
        <v>500</v>
      </c>
      <c r="F16" s="947">
        <v>790</v>
      </c>
      <c r="G16" s="946">
        <v>693</v>
      </c>
      <c r="H16" s="533">
        <f t="shared" si="0"/>
        <v>138.6</v>
      </c>
      <c r="I16" s="532">
        <f t="shared" si="1"/>
        <v>87.721518987341767</v>
      </c>
    </row>
    <row r="17" spans="1:9" s="486" customFormat="1" ht="16.5" thickBot="1" x14ac:dyDescent="0.3">
      <c r="A17" s="1049" t="s">
        <v>16</v>
      </c>
      <c r="B17" s="1013"/>
      <c r="C17" s="1014"/>
      <c r="D17" s="593"/>
      <c r="E17" s="952">
        <f>E15+E7</f>
        <v>14619</v>
      </c>
      <c r="F17" s="953">
        <f>F15+F7</f>
        <v>15670.9</v>
      </c>
      <c r="G17" s="952">
        <f>G15+G7</f>
        <v>14376</v>
      </c>
      <c r="H17" s="594">
        <f t="shared" si="0"/>
        <v>98.337779601887959</v>
      </c>
      <c r="I17" s="595">
        <f t="shared" si="1"/>
        <v>91.736913642483842</v>
      </c>
    </row>
    <row r="18" spans="1:9" x14ac:dyDescent="0.2">
      <c r="A18" s="981"/>
      <c r="B18" s="596"/>
      <c r="C18" s="596"/>
      <c r="D18" s="597"/>
      <c r="E18" s="91"/>
      <c r="F18" s="165"/>
      <c r="G18" s="598"/>
      <c r="H18" s="599"/>
      <c r="I18" s="599"/>
    </row>
    <row r="19" spans="1:9" ht="13.5" thickBot="1" x14ac:dyDescent="0.25">
      <c r="A19" s="981"/>
      <c r="B19" s="596"/>
      <c r="C19" s="596"/>
      <c r="D19" s="597"/>
      <c r="E19" s="91"/>
      <c r="F19" s="165"/>
      <c r="G19" s="598"/>
      <c r="H19" s="599"/>
      <c r="I19" s="599"/>
    </row>
    <row r="20" spans="1:9" x14ac:dyDescent="0.2">
      <c r="A20" s="6" t="s">
        <v>1</v>
      </c>
      <c r="B20" s="51" t="s">
        <v>2</v>
      </c>
      <c r="C20" s="601" t="s">
        <v>3</v>
      </c>
      <c r="D20" s="551"/>
      <c r="E20" s="51" t="s">
        <v>4</v>
      </c>
      <c r="F20" s="3" t="s">
        <v>372</v>
      </c>
      <c r="G20" s="3" t="s">
        <v>306</v>
      </c>
      <c r="H20" s="552" t="s">
        <v>373</v>
      </c>
      <c r="I20" s="553" t="s">
        <v>373</v>
      </c>
    </row>
    <row r="21" spans="1:9" x14ac:dyDescent="0.2">
      <c r="A21" s="7" t="s">
        <v>5</v>
      </c>
      <c r="B21" s="52" t="s">
        <v>6</v>
      </c>
      <c r="C21" s="603" t="s">
        <v>7</v>
      </c>
      <c r="D21" s="556" t="s">
        <v>488</v>
      </c>
      <c r="E21" s="52" t="s">
        <v>242</v>
      </c>
      <c r="F21" s="4" t="s">
        <v>374</v>
      </c>
      <c r="G21" s="4" t="s">
        <v>307</v>
      </c>
      <c r="H21" s="557" t="s">
        <v>375</v>
      </c>
      <c r="I21" s="558" t="s">
        <v>376</v>
      </c>
    </row>
    <row r="22" spans="1:9" ht="13.5" thickBot="1" x14ac:dyDescent="0.25">
      <c r="A22" s="7" t="s">
        <v>9</v>
      </c>
      <c r="B22" s="52" t="s">
        <v>10</v>
      </c>
      <c r="C22" s="603"/>
      <c r="D22" s="556"/>
      <c r="E22" s="52" t="s">
        <v>293</v>
      </c>
      <c r="F22" s="338">
        <v>44561</v>
      </c>
      <c r="G22" s="338">
        <v>44561</v>
      </c>
      <c r="H22" s="562" t="s">
        <v>220</v>
      </c>
      <c r="I22" s="563" t="s">
        <v>220</v>
      </c>
    </row>
    <row r="23" spans="1:9" s="486" customFormat="1" ht="15.75" x14ac:dyDescent="0.25">
      <c r="A23" s="9" t="s">
        <v>310</v>
      </c>
      <c r="B23" s="564"/>
      <c r="C23" s="605"/>
      <c r="D23" s="566"/>
      <c r="E23" s="564"/>
      <c r="F23" s="606"/>
      <c r="G23" s="29"/>
      <c r="H23" s="607"/>
      <c r="I23" s="608"/>
    </row>
    <row r="24" spans="1:9" x14ac:dyDescent="0.2">
      <c r="A24" s="31" t="s">
        <v>154</v>
      </c>
      <c r="B24" s="609" t="s">
        <v>210</v>
      </c>
      <c r="C24" s="610"/>
      <c r="D24" s="611"/>
      <c r="E24" s="885">
        <f>SUM(E25:E30)+SUM(E31:E43)+SUM(E50:E60)</f>
        <v>55068.05</v>
      </c>
      <c r="F24" s="886">
        <f>SUM(F25:F30)+SUM(F31:F43)+SUM(F50:F60)</f>
        <v>103521.2</v>
      </c>
      <c r="G24" s="885">
        <f>SUM(G25:G30)+SUM(G31:G43)+SUM(G50:G60)</f>
        <v>46184</v>
      </c>
      <c r="H24" s="574">
        <f t="shared" ref="H24:H61" si="3">(G24/E24)*100</f>
        <v>83.867142562701957</v>
      </c>
      <c r="I24" s="575">
        <f>(G24/F24)*100</f>
        <v>44.61308408326024</v>
      </c>
    </row>
    <row r="25" spans="1:9" x14ac:dyDescent="0.2">
      <c r="A25" s="982" t="s">
        <v>154</v>
      </c>
      <c r="B25" s="612" t="s">
        <v>330</v>
      </c>
      <c r="C25" s="613" t="s">
        <v>331</v>
      </c>
      <c r="D25" s="614" t="s">
        <v>332</v>
      </c>
      <c r="E25" s="860">
        <v>5300</v>
      </c>
      <c r="F25" s="861">
        <v>20171.900000000001</v>
      </c>
      <c r="G25" s="880">
        <v>19711</v>
      </c>
      <c r="H25" s="579">
        <f t="shared" si="3"/>
        <v>371.90566037735852</v>
      </c>
      <c r="I25" s="526">
        <f t="shared" ref="I25:I27" si="4">(G25/F25)*100</f>
        <v>97.715138385575969</v>
      </c>
    </row>
    <row r="26" spans="1:9" ht="15" customHeight="1" x14ac:dyDescent="0.2">
      <c r="A26" s="982" t="s">
        <v>154</v>
      </c>
      <c r="B26" s="612" t="s">
        <v>333</v>
      </c>
      <c r="C26" s="305" t="s">
        <v>334</v>
      </c>
      <c r="D26" s="614" t="s">
        <v>335</v>
      </c>
      <c r="E26" s="860">
        <v>4000</v>
      </c>
      <c r="F26" s="861">
        <v>2413.1</v>
      </c>
      <c r="G26" s="880">
        <v>1091</v>
      </c>
      <c r="H26" s="579">
        <f t="shared" si="3"/>
        <v>27.274999999999999</v>
      </c>
      <c r="I26" s="526">
        <f t="shared" si="4"/>
        <v>45.21155360324893</v>
      </c>
    </row>
    <row r="27" spans="1:9" x14ac:dyDescent="0.2">
      <c r="A27" s="982" t="s">
        <v>154</v>
      </c>
      <c r="B27" s="39" t="s">
        <v>336</v>
      </c>
      <c r="C27" s="615" t="s">
        <v>607</v>
      </c>
      <c r="D27" s="614" t="s">
        <v>332</v>
      </c>
      <c r="E27" s="860">
        <v>1500</v>
      </c>
      <c r="F27" s="861">
        <v>2265.4</v>
      </c>
      <c r="G27" s="880">
        <v>2164</v>
      </c>
      <c r="H27" s="531">
        <f t="shared" si="3"/>
        <v>144.26666666666668</v>
      </c>
      <c r="I27" s="517">
        <f t="shared" si="4"/>
        <v>95.52396927694889</v>
      </c>
    </row>
    <row r="28" spans="1:9" x14ac:dyDescent="0.2">
      <c r="A28" s="982" t="s">
        <v>154</v>
      </c>
      <c r="B28" s="39" t="s">
        <v>337</v>
      </c>
      <c r="C28" s="615" t="s">
        <v>338</v>
      </c>
      <c r="D28" s="614" t="s">
        <v>335</v>
      </c>
      <c r="E28" s="860">
        <v>163.5</v>
      </c>
      <c r="F28" s="861">
        <v>0</v>
      </c>
      <c r="G28" s="880">
        <v>0</v>
      </c>
      <c r="H28" s="579">
        <f t="shared" si="3"/>
        <v>0</v>
      </c>
      <c r="I28" s="526">
        <v>0</v>
      </c>
    </row>
    <row r="29" spans="1:9" ht="15" customHeight="1" x14ac:dyDescent="0.2">
      <c r="A29" s="982" t="s">
        <v>154</v>
      </c>
      <c r="B29" s="39" t="s">
        <v>339</v>
      </c>
      <c r="C29" s="615" t="s">
        <v>340</v>
      </c>
      <c r="D29" s="614" t="s">
        <v>332</v>
      </c>
      <c r="E29" s="860">
        <v>300</v>
      </c>
      <c r="F29" s="861">
        <v>0</v>
      </c>
      <c r="G29" s="880">
        <v>0</v>
      </c>
      <c r="H29" s="531">
        <f t="shared" si="3"/>
        <v>0</v>
      </c>
      <c r="I29" s="517">
        <v>0</v>
      </c>
    </row>
    <row r="30" spans="1:9" x14ac:dyDescent="0.2">
      <c r="A30" s="982" t="s">
        <v>154</v>
      </c>
      <c r="B30" s="612" t="s">
        <v>341</v>
      </c>
      <c r="C30" s="616" t="s">
        <v>342</v>
      </c>
      <c r="D30" s="614" t="s">
        <v>332</v>
      </c>
      <c r="E30" s="860">
        <v>1195</v>
      </c>
      <c r="F30" s="861">
        <v>0</v>
      </c>
      <c r="G30" s="880">
        <v>0</v>
      </c>
      <c r="H30" s="579">
        <f t="shared" si="3"/>
        <v>0</v>
      </c>
      <c r="I30" s="526">
        <v>0</v>
      </c>
    </row>
    <row r="31" spans="1:9" ht="15" customHeight="1" x14ac:dyDescent="0.2">
      <c r="A31" s="982" t="s">
        <v>154</v>
      </c>
      <c r="B31" s="612" t="s">
        <v>343</v>
      </c>
      <c r="C31" s="616" t="s">
        <v>608</v>
      </c>
      <c r="D31" s="614" t="s">
        <v>332</v>
      </c>
      <c r="E31" s="860">
        <v>765</v>
      </c>
      <c r="F31" s="861">
        <v>841</v>
      </c>
      <c r="G31" s="880">
        <v>840</v>
      </c>
      <c r="H31" s="531">
        <f t="shared" si="3"/>
        <v>109.80392156862746</v>
      </c>
      <c r="I31" s="517">
        <f t="shared" ref="I31:I61" si="5">(G31/F31)*100</f>
        <v>99.881093935790716</v>
      </c>
    </row>
    <row r="32" spans="1:9" ht="15" customHeight="1" x14ac:dyDescent="0.2">
      <c r="A32" s="982" t="s">
        <v>154</v>
      </c>
      <c r="B32" s="612" t="s">
        <v>344</v>
      </c>
      <c r="C32" s="616" t="s">
        <v>345</v>
      </c>
      <c r="D32" s="614" t="s">
        <v>335</v>
      </c>
      <c r="E32" s="860">
        <v>2200</v>
      </c>
      <c r="F32" s="861">
        <v>1938</v>
      </c>
      <c r="G32" s="880">
        <v>0</v>
      </c>
      <c r="H32" s="579">
        <f t="shared" si="3"/>
        <v>0</v>
      </c>
      <c r="I32" s="526">
        <f t="shared" si="5"/>
        <v>0</v>
      </c>
    </row>
    <row r="33" spans="1:9" ht="15" customHeight="1" x14ac:dyDescent="0.2">
      <c r="A33" s="982" t="s">
        <v>154</v>
      </c>
      <c r="B33" s="612" t="s">
        <v>346</v>
      </c>
      <c r="C33" s="616" t="s">
        <v>347</v>
      </c>
      <c r="D33" s="614" t="s">
        <v>335</v>
      </c>
      <c r="E33" s="860">
        <v>2230</v>
      </c>
      <c r="F33" s="861">
        <v>2230</v>
      </c>
      <c r="G33" s="880">
        <v>96</v>
      </c>
      <c r="H33" s="579">
        <f t="shared" si="3"/>
        <v>4.304932735426009</v>
      </c>
      <c r="I33" s="526">
        <f t="shared" si="5"/>
        <v>4.304932735426009</v>
      </c>
    </row>
    <row r="34" spans="1:9" ht="15" customHeight="1" x14ac:dyDescent="0.2">
      <c r="A34" s="81" t="s">
        <v>154</v>
      </c>
      <c r="B34" s="612" t="s">
        <v>348</v>
      </c>
      <c r="C34" s="616" t="s">
        <v>349</v>
      </c>
      <c r="D34" s="614" t="s">
        <v>350</v>
      </c>
      <c r="E34" s="860">
        <v>182</v>
      </c>
      <c r="F34" s="861">
        <v>182</v>
      </c>
      <c r="G34" s="880">
        <v>0</v>
      </c>
      <c r="H34" s="531">
        <f t="shared" si="3"/>
        <v>0</v>
      </c>
      <c r="I34" s="517">
        <f t="shared" si="5"/>
        <v>0</v>
      </c>
    </row>
    <row r="35" spans="1:9" ht="15" customHeight="1" x14ac:dyDescent="0.2">
      <c r="A35" s="81" t="s">
        <v>154</v>
      </c>
      <c r="B35" s="612" t="s">
        <v>523</v>
      </c>
      <c r="C35" s="616" t="s">
        <v>351</v>
      </c>
      <c r="D35" s="614" t="s">
        <v>332</v>
      </c>
      <c r="E35" s="860">
        <v>264</v>
      </c>
      <c r="F35" s="861">
        <v>0</v>
      </c>
      <c r="G35" s="880">
        <v>0</v>
      </c>
      <c r="H35" s="579">
        <f t="shared" si="3"/>
        <v>0</v>
      </c>
      <c r="I35" s="526">
        <v>0</v>
      </c>
    </row>
    <row r="36" spans="1:9" ht="15" customHeight="1" x14ac:dyDescent="0.2">
      <c r="A36" s="982" t="s">
        <v>154</v>
      </c>
      <c r="B36" s="612" t="s">
        <v>524</v>
      </c>
      <c r="C36" s="616" t="s">
        <v>617</v>
      </c>
      <c r="D36" s="614" t="s">
        <v>335</v>
      </c>
      <c r="E36" s="860">
        <v>6000</v>
      </c>
      <c r="F36" s="861">
        <v>0</v>
      </c>
      <c r="G36" s="880">
        <v>0</v>
      </c>
      <c r="H36" s="579">
        <f t="shared" si="3"/>
        <v>0</v>
      </c>
      <c r="I36" s="526">
        <v>0</v>
      </c>
    </row>
    <row r="37" spans="1:9" ht="15" customHeight="1" x14ac:dyDescent="0.2">
      <c r="A37" s="982" t="s">
        <v>154</v>
      </c>
      <c r="B37" s="612" t="s">
        <v>525</v>
      </c>
      <c r="C37" s="616" t="s">
        <v>609</v>
      </c>
      <c r="D37" s="614" t="s">
        <v>335</v>
      </c>
      <c r="E37" s="860">
        <v>2818.15</v>
      </c>
      <c r="F37" s="861">
        <v>3378</v>
      </c>
      <c r="G37" s="880">
        <v>3303</v>
      </c>
      <c r="H37" s="579">
        <f t="shared" si="3"/>
        <v>117.20454908361869</v>
      </c>
      <c r="I37" s="526">
        <f t="shared" si="5"/>
        <v>97.779751332149203</v>
      </c>
    </row>
    <row r="38" spans="1:9" ht="15" customHeight="1" x14ac:dyDescent="0.2">
      <c r="A38" s="982" t="s">
        <v>154</v>
      </c>
      <c r="B38" s="612" t="s">
        <v>526</v>
      </c>
      <c r="C38" s="616" t="s">
        <v>610</v>
      </c>
      <c r="D38" s="614" t="s">
        <v>335</v>
      </c>
      <c r="E38" s="860">
        <v>4728</v>
      </c>
      <c r="F38" s="861">
        <v>5058</v>
      </c>
      <c r="G38" s="880">
        <v>4813</v>
      </c>
      <c r="H38" s="531">
        <f t="shared" si="3"/>
        <v>101.79780033840949</v>
      </c>
      <c r="I38" s="517">
        <f t="shared" si="5"/>
        <v>95.156188216686431</v>
      </c>
    </row>
    <row r="39" spans="1:9" ht="15" customHeight="1" x14ac:dyDescent="0.2">
      <c r="A39" s="982" t="s">
        <v>154</v>
      </c>
      <c r="B39" s="612" t="s">
        <v>527</v>
      </c>
      <c r="C39" s="616" t="s">
        <v>611</v>
      </c>
      <c r="D39" s="614" t="s">
        <v>335</v>
      </c>
      <c r="E39" s="860">
        <v>500</v>
      </c>
      <c r="F39" s="861">
        <v>0</v>
      </c>
      <c r="G39" s="880">
        <v>0</v>
      </c>
      <c r="H39" s="579">
        <f t="shared" si="3"/>
        <v>0</v>
      </c>
      <c r="I39" s="526">
        <v>0</v>
      </c>
    </row>
    <row r="40" spans="1:9" ht="15" customHeight="1" x14ac:dyDescent="0.2">
      <c r="A40" s="982" t="s">
        <v>154</v>
      </c>
      <c r="B40" s="612" t="s">
        <v>528</v>
      </c>
      <c r="C40" s="616" t="s">
        <v>352</v>
      </c>
      <c r="D40" s="614" t="s">
        <v>335</v>
      </c>
      <c r="E40" s="860">
        <v>2330</v>
      </c>
      <c r="F40" s="861">
        <v>820</v>
      </c>
      <c r="G40" s="880">
        <v>796</v>
      </c>
      <c r="H40" s="579">
        <f t="shared" si="3"/>
        <v>34.163090128755364</v>
      </c>
      <c r="I40" s="526">
        <f t="shared" si="5"/>
        <v>97.073170731707307</v>
      </c>
    </row>
    <row r="41" spans="1:9" ht="15" customHeight="1" x14ac:dyDescent="0.2">
      <c r="A41" s="982" t="s">
        <v>154</v>
      </c>
      <c r="B41" s="612" t="s">
        <v>529</v>
      </c>
      <c r="C41" s="616" t="s">
        <v>612</v>
      </c>
      <c r="D41" s="614" t="s">
        <v>335</v>
      </c>
      <c r="E41" s="860">
        <v>110</v>
      </c>
      <c r="F41" s="861">
        <v>52.6</v>
      </c>
      <c r="G41" s="880">
        <v>0</v>
      </c>
      <c r="H41" s="579">
        <f t="shared" si="3"/>
        <v>0</v>
      </c>
      <c r="I41" s="526">
        <f>(G41/F41)*100</f>
        <v>0</v>
      </c>
    </row>
    <row r="42" spans="1:9" ht="15" customHeight="1" x14ac:dyDescent="0.2">
      <c r="A42" s="982" t="s">
        <v>154</v>
      </c>
      <c r="B42" s="612" t="s">
        <v>530</v>
      </c>
      <c r="C42" s="616" t="s">
        <v>613</v>
      </c>
      <c r="D42" s="614" t="s">
        <v>335</v>
      </c>
      <c r="E42" s="860">
        <v>2187.4</v>
      </c>
      <c r="F42" s="861">
        <v>0</v>
      </c>
      <c r="G42" s="880">
        <v>0</v>
      </c>
      <c r="H42" s="579">
        <f t="shared" si="3"/>
        <v>0</v>
      </c>
      <c r="I42" s="526">
        <v>0</v>
      </c>
    </row>
    <row r="43" spans="1:9" ht="32.25" customHeight="1" thickBot="1" x14ac:dyDescent="0.25">
      <c r="A43" s="126" t="s">
        <v>154</v>
      </c>
      <c r="B43" s="618" t="s">
        <v>398</v>
      </c>
      <c r="C43" s="619" t="s">
        <v>353</v>
      </c>
      <c r="D43" s="620" t="s">
        <v>335</v>
      </c>
      <c r="E43" s="954">
        <v>5500</v>
      </c>
      <c r="F43" s="955">
        <v>9200</v>
      </c>
      <c r="G43" s="956">
        <v>2582</v>
      </c>
      <c r="H43" s="621">
        <f t="shared" si="3"/>
        <v>46.945454545454545</v>
      </c>
      <c r="I43" s="622">
        <f t="shared" si="5"/>
        <v>28.065217391304348</v>
      </c>
    </row>
    <row r="44" spans="1:9" ht="66.75" customHeight="1" x14ac:dyDescent="0.2">
      <c r="A44" s="129"/>
      <c r="B44" s="623"/>
      <c r="C44" s="624"/>
      <c r="D44" s="625"/>
      <c r="E44" s="957"/>
      <c r="F44" s="626"/>
      <c r="G44" s="627"/>
      <c r="H44" s="628"/>
      <c r="I44" s="629"/>
    </row>
    <row r="45" spans="1:9" ht="12" customHeight="1" x14ac:dyDescent="0.2">
      <c r="A45" s="129"/>
      <c r="B45" s="623"/>
      <c r="C45" s="624"/>
      <c r="D45" s="625"/>
      <c r="E45" s="957"/>
      <c r="F45" s="626"/>
      <c r="G45" s="627"/>
      <c r="H45" s="628"/>
      <c r="I45" s="629"/>
    </row>
    <row r="46" spans="1:9" ht="28.5" customHeight="1" thickBot="1" x14ac:dyDescent="0.25">
      <c r="A46" s="129"/>
      <c r="B46" s="623"/>
      <c r="C46" s="624"/>
      <c r="D46" s="625"/>
      <c r="E46" s="957"/>
      <c r="F46" s="626"/>
      <c r="G46" s="627"/>
      <c r="H46" s="628"/>
      <c r="I46" s="191" t="s">
        <v>593</v>
      </c>
    </row>
    <row r="47" spans="1:9" x14ac:dyDescent="0.2">
      <c r="A47" s="6" t="s">
        <v>1</v>
      </c>
      <c r="B47" s="51" t="s">
        <v>2</v>
      </c>
      <c r="C47" s="601" t="s">
        <v>3</v>
      </c>
      <c r="D47" s="551"/>
      <c r="E47" s="3" t="s">
        <v>4</v>
      </c>
      <c r="F47" s="3" t="s">
        <v>372</v>
      </c>
      <c r="G47" s="3" t="s">
        <v>306</v>
      </c>
      <c r="H47" s="552" t="s">
        <v>373</v>
      </c>
      <c r="I47" s="553" t="s">
        <v>373</v>
      </c>
    </row>
    <row r="48" spans="1:9" x14ac:dyDescent="0.2">
      <c r="A48" s="7" t="s">
        <v>5</v>
      </c>
      <c r="B48" s="52" t="s">
        <v>6</v>
      </c>
      <c r="C48" s="603" t="s">
        <v>7</v>
      </c>
      <c r="D48" s="556" t="s">
        <v>488</v>
      </c>
      <c r="E48" s="4" t="s">
        <v>242</v>
      </c>
      <c r="F48" s="4" t="s">
        <v>374</v>
      </c>
      <c r="G48" s="4" t="s">
        <v>307</v>
      </c>
      <c r="H48" s="557" t="s">
        <v>375</v>
      </c>
      <c r="I48" s="558" t="s">
        <v>376</v>
      </c>
    </row>
    <row r="49" spans="1:9" ht="13.5" thickBot="1" x14ac:dyDescent="0.25">
      <c r="A49" s="54" t="s">
        <v>9</v>
      </c>
      <c r="B49" s="503" t="s">
        <v>10</v>
      </c>
      <c r="C49" s="631"/>
      <c r="D49" s="561"/>
      <c r="E49" s="5" t="s">
        <v>293</v>
      </c>
      <c r="F49" s="338">
        <v>44561</v>
      </c>
      <c r="G49" s="338">
        <v>44561</v>
      </c>
      <c r="H49" s="562" t="s">
        <v>220</v>
      </c>
      <c r="I49" s="563" t="s">
        <v>220</v>
      </c>
    </row>
    <row r="50" spans="1:9" ht="40.5" customHeight="1" x14ac:dyDescent="0.2">
      <c r="A50" s="973" t="s">
        <v>154</v>
      </c>
      <c r="B50" s="632" t="s">
        <v>399</v>
      </c>
      <c r="C50" s="633" t="s">
        <v>354</v>
      </c>
      <c r="D50" s="634" t="s">
        <v>335</v>
      </c>
      <c r="E50" s="867">
        <v>7000</v>
      </c>
      <c r="F50" s="868">
        <v>0</v>
      </c>
      <c r="G50" s="958">
        <v>0</v>
      </c>
      <c r="H50" s="635">
        <f t="shared" si="3"/>
        <v>0</v>
      </c>
      <c r="I50" s="636">
        <v>0</v>
      </c>
    </row>
    <row r="51" spans="1:9" ht="40.5" customHeight="1" x14ac:dyDescent="0.2">
      <c r="A51" s="81" t="s">
        <v>154</v>
      </c>
      <c r="B51" s="612" t="s">
        <v>400</v>
      </c>
      <c r="C51" s="615" t="s">
        <v>355</v>
      </c>
      <c r="D51" s="637" t="s">
        <v>335</v>
      </c>
      <c r="E51" s="860">
        <v>5795</v>
      </c>
      <c r="F51" s="861">
        <v>0</v>
      </c>
      <c r="G51" s="880">
        <v>0</v>
      </c>
      <c r="H51" s="531">
        <f t="shared" si="3"/>
        <v>0</v>
      </c>
      <c r="I51" s="526">
        <v>0</v>
      </c>
    </row>
    <row r="52" spans="1:9" ht="15" customHeight="1" x14ac:dyDescent="0.2">
      <c r="A52" s="982" t="s">
        <v>154</v>
      </c>
      <c r="B52" s="638" t="s">
        <v>531</v>
      </c>
      <c r="C52" s="639" t="s">
        <v>655</v>
      </c>
      <c r="D52" s="637" t="s">
        <v>335</v>
      </c>
      <c r="E52" s="862">
        <v>0</v>
      </c>
      <c r="F52" s="959">
        <v>24011.1</v>
      </c>
      <c r="G52" s="880">
        <v>8455</v>
      </c>
      <c r="H52" s="640" t="s">
        <v>305</v>
      </c>
      <c r="I52" s="526">
        <f t="shared" ref="I52:I60" si="6">(G52/F52)*100</f>
        <v>35.212880709338599</v>
      </c>
    </row>
    <row r="53" spans="1:9" ht="15" customHeight="1" x14ac:dyDescent="0.2">
      <c r="A53" s="983" t="s">
        <v>154</v>
      </c>
      <c r="B53" s="612" t="s">
        <v>535</v>
      </c>
      <c r="C53" s="613" t="s">
        <v>391</v>
      </c>
      <c r="D53" s="637" t="s">
        <v>335</v>
      </c>
      <c r="E53" s="860">
        <v>0</v>
      </c>
      <c r="F53" s="861">
        <v>10500</v>
      </c>
      <c r="G53" s="880">
        <v>569</v>
      </c>
      <c r="H53" s="72" t="s">
        <v>305</v>
      </c>
      <c r="I53" s="517">
        <f t="shared" si="6"/>
        <v>5.4190476190476193</v>
      </c>
    </row>
    <row r="54" spans="1:9" x14ac:dyDescent="0.2">
      <c r="A54" s="984" t="s">
        <v>154</v>
      </c>
      <c r="B54" s="612" t="s">
        <v>457</v>
      </c>
      <c r="C54" s="641" t="s">
        <v>534</v>
      </c>
      <c r="D54" s="642" t="s">
        <v>335</v>
      </c>
      <c r="E54" s="877">
        <v>0</v>
      </c>
      <c r="F54" s="960">
        <v>3200</v>
      </c>
      <c r="G54" s="880">
        <v>0</v>
      </c>
      <c r="H54" s="643" t="s">
        <v>305</v>
      </c>
      <c r="I54" s="644">
        <f t="shared" si="6"/>
        <v>0</v>
      </c>
    </row>
    <row r="55" spans="1:9" ht="25.5" x14ac:dyDescent="0.2">
      <c r="A55" s="982" t="s">
        <v>154</v>
      </c>
      <c r="B55" s="645" t="s">
        <v>474</v>
      </c>
      <c r="C55" s="646" t="s">
        <v>536</v>
      </c>
      <c r="D55" s="637" t="s">
        <v>335</v>
      </c>
      <c r="E55" s="862">
        <v>0</v>
      </c>
      <c r="F55" s="863">
        <v>754.7</v>
      </c>
      <c r="G55" s="961">
        <v>0</v>
      </c>
      <c r="H55" s="643" t="s">
        <v>305</v>
      </c>
      <c r="I55" s="644">
        <f t="shared" si="6"/>
        <v>0</v>
      </c>
    </row>
    <row r="56" spans="1:9" ht="15" customHeight="1" x14ac:dyDescent="0.2">
      <c r="A56" s="982" t="s">
        <v>154</v>
      </c>
      <c r="B56" s="645" t="s">
        <v>622</v>
      </c>
      <c r="C56" s="646" t="s">
        <v>623</v>
      </c>
      <c r="D56" s="637" t="s">
        <v>335</v>
      </c>
      <c r="E56" s="862">
        <v>0</v>
      </c>
      <c r="F56" s="863">
        <v>56</v>
      </c>
      <c r="G56" s="961">
        <v>0</v>
      </c>
      <c r="H56" s="643" t="s">
        <v>305</v>
      </c>
      <c r="I56" s="517">
        <f t="shared" si="6"/>
        <v>0</v>
      </c>
    </row>
    <row r="57" spans="1:9" ht="15" customHeight="1" x14ac:dyDescent="0.2">
      <c r="A57" s="982" t="s">
        <v>154</v>
      </c>
      <c r="B57" s="645" t="s">
        <v>624</v>
      </c>
      <c r="C57" s="646" t="s">
        <v>625</v>
      </c>
      <c r="D57" s="614" t="s">
        <v>335</v>
      </c>
      <c r="E57" s="862">
        <v>0</v>
      </c>
      <c r="F57" s="863">
        <v>606</v>
      </c>
      <c r="G57" s="961">
        <v>605</v>
      </c>
      <c r="H57" s="643" t="s">
        <v>305</v>
      </c>
      <c r="I57" s="517">
        <f t="shared" si="6"/>
        <v>99.834983498349843</v>
      </c>
    </row>
    <row r="58" spans="1:9" ht="24" customHeight="1" x14ac:dyDescent="0.2">
      <c r="A58" s="982" t="s">
        <v>154</v>
      </c>
      <c r="B58" s="645" t="s">
        <v>626</v>
      </c>
      <c r="C58" s="646" t="s">
        <v>627</v>
      </c>
      <c r="D58" s="614" t="s">
        <v>335</v>
      </c>
      <c r="E58" s="862">
        <v>0</v>
      </c>
      <c r="F58" s="863">
        <v>6500</v>
      </c>
      <c r="G58" s="961">
        <v>1159</v>
      </c>
      <c r="H58" s="643" t="s">
        <v>305</v>
      </c>
      <c r="I58" s="517">
        <f t="shared" si="6"/>
        <v>17.830769230769231</v>
      </c>
    </row>
    <row r="59" spans="1:9" ht="15" customHeight="1" x14ac:dyDescent="0.2">
      <c r="A59" s="982" t="s">
        <v>154</v>
      </c>
      <c r="B59" s="645" t="s">
        <v>628</v>
      </c>
      <c r="C59" s="367" t="s">
        <v>629</v>
      </c>
      <c r="D59" s="614" t="s">
        <v>335</v>
      </c>
      <c r="E59" s="860">
        <v>0</v>
      </c>
      <c r="F59" s="863">
        <v>9341</v>
      </c>
      <c r="G59" s="961">
        <v>0</v>
      </c>
      <c r="H59" s="640" t="s">
        <v>305</v>
      </c>
      <c r="I59" s="517">
        <f t="shared" si="6"/>
        <v>0</v>
      </c>
    </row>
    <row r="60" spans="1:9" ht="15" customHeight="1" thickBot="1" x14ac:dyDescent="0.25">
      <c r="A60" s="370" t="s">
        <v>154</v>
      </c>
      <c r="B60" s="996" t="s">
        <v>630</v>
      </c>
      <c r="C60" s="997" t="s">
        <v>631</v>
      </c>
      <c r="D60" s="998" t="s">
        <v>335</v>
      </c>
      <c r="E60" s="877">
        <v>0</v>
      </c>
      <c r="F60" s="863">
        <v>2.4</v>
      </c>
      <c r="G60" s="999">
        <v>0</v>
      </c>
      <c r="H60" s="647" t="s">
        <v>305</v>
      </c>
      <c r="I60" s="532">
        <f t="shared" si="6"/>
        <v>0</v>
      </c>
    </row>
    <row r="61" spans="1:9" s="486" customFormat="1" ht="16.5" thickBot="1" x14ac:dyDescent="0.3">
      <c r="A61" s="985" t="s">
        <v>315</v>
      </c>
      <c r="B61" s="649"/>
      <c r="C61" s="650"/>
      <c r="D61" s="649"/>
      <c r="E61" s="415">
        <f>E24</f>
        <v>55068.05</v>
      </c>
      <c r="F61" s="414">
        <f>F24</f>
        <v>103521.2</v>
      </c>
      <c r="G61" s="415">
        <f>G24</f>
        <v>46184</v>
      </c>
      <c r="H61" s="594">
        <f t="shared" si="3"/>
        <v>83.867142562701957</v>
      </c>
      <c r="I61" s="595">
        <f t="shared" si="5"/>
        <v>44.61308408326024</v>
      </c>
    </row>
    <row r="62" spans="1:9" s="486" customFormat="1" ht="16.5" thickBot="1" x14ac:dyDescent="0.25">
      <c r="A62" s="661"/>
      <c r="D62" s="651"/>
      <c r="E62" s="652"/>
      <c r="F62" s="653"/>
      <c r="G62" s="431"/>
      <c r="H62" s="654"/>
      <c r="I62" s="655"/>
    </row>
    <row r="63" spans="1:9" s="486" customFormat="1" ht="15.75" customHeight="1" thickBot="1" x14ac:dyDescent="0.3">
      <c r="A63" s="1049" t="s">
        <v>381</v>
      </c>
      <c r="B63" s="1013"/>
      <c r="C63" s="1014"/>
      <c r="D63" s="649"/>
      <c r="E63" s="656">
        <f>E61+E17</f>
        <v>69687.05</v>
      </c>
      <c r="F63" s="444">
        <f>F61+F17</f>
        <v>119192.09999999999</v>
      </c>
      <c r="G63" s="738">
        <f>G61+G17</f>
        <v>60560</v>
      </c>
      <c r="H63" s="657">
        <f t="shared" ref="H63" si="7">(G63/E63)*100</f>
        <v>86.902803318550568</v>
      </c>
      <c r="I63" s="595">
        <f t="shared" ref="I63" si="8">(G63/F63)*100</f>
        <v>50.808736485052286</v>
      </c>
    </row>
    <row r="64" spans="1:9" s="486" customFormat="1" ht="15" x14ac:dyDescent="0.2">
      <c r="A64" s="661"/>
      <c r="D64" s="651"/>
      <c r="H64" s="545"/>
      <c r="I64" s="545"/>
    </row>
  </sheetData>
  <mergeCells count="4">
    <mergeCell ref="A1:D1"/>
    <mergeCell ref="B15:C15"/>
    <mergeCell ref="A17:C17"/>
    <mergeCell ref="A63:C63"/>
  </mergeCells>
  <printOptions horizontalCentered="1"/>
  <pageMargins left="0.23622047244094491" right="0" top="0.39370078740157483" bottom="0" header="0" footer="0"/>
  <pageSetup paperSize="9" scale="78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M115"/>
  <sheetViews>
    <sheetView topLeftCell="A49" zoomScaleNormal="100" workbookViewId="0">
      <selection activeCell="D131" sqref="D131"/>
    </sheetView>
  </sheetViews>
  <sheetFormatPr defaultColWidth="9.140625" defaultRowHeight="12.75" x14ac:dyDescent="0.2"/>
  <cols>
    <col min="1" max="1" width="9.140625" style="659"/>
    <col min="2" max="2" width="12.140625" style="659" customWidth="1"/>
    <col min="3" max="3" width="43.28515625" style="659" customWidth="1"/>
    <col min="4" max="4" width="50.5703125" style="659" customWidth="1"/>
    <col min="5" max="5" width="13" style="659" customWidth="1"/>
    <col min="6" max="6" width="16.42578125" style="659" customWidth="1"/>
    <col min="7" max="7" width="12.7109375" style="659" customWidth="1"/>
    <col min="8" max="8" width="11.140625" style="659" customWidth="1"/>
    <col min="9" max="9" width="10.7109375" style="659" customWidth="1"/>
    <col min="10" max="10" width="13.7109375" style="337" customWidth="1"/>
    <col min="11" max="16384" width="9.140625" style="659"/>
  </cols>
  <sheetData>
    <row r="1" spans="1:13" ht="15.75" x14ac:dyDescent="0.25">
      <c r="A1" s="1056" t="s">
        <v>158</v>
      </c>
      <c r="B1" s="1056"/>
      <c r="C1" s="1056"/>
      <c r="D1" s="1056"/>
      <c r="E1" s="1056"/>
    </row>
    <row r="2" spans="1:13" s="661" customFormat="1" ht="14.25" customHeight="1" thickBot="1" x14ac:dyDescent="0.3">
      <c r="A2" s="1057"/>
      <c r="B2" s="1057"/>
      <c r="C2" s="1057"/>
      <c r="D2" s="1057"/>
      <c r="E2" s="1057"/>
      <c r="F2" s="660"/>
      <c r="I2" s="351" t="s">
        <v>592</v>
      </c>
      <c r="J2" s="352"/>
    </row>
    <row r="3" spans="1:13" ht="15" customHeight="1" x14ac:dyDescent="0.2">
      <c r="A3" s="11" t="s">
        <v>1</v>
      </c>
      <c r="B3" s="3" t="s">
        <v>2</v>
      </c>
      <c r="C3" s="12" t="s">
        <v>3</v>
      </c>
      <c r="D3" s="662"/>
      <c r="E3" s="3" t="s">
        <v>4</v>
      </c>
      <c r="F3" s="3" t="s">
        <v>372</v>
      </c>
      <c r="G3" s="37" t="s">
        <v>306</v>
      </c>
      <c r="H3" s="3" t="s">
        <v>373</v>
      </c>
      <c r="I3" s="353" t="s">
        <v>373</v>
      </c>
    </row>
    <row r="4" spans="1:13" ht="15" customHeight="1" x14ac:dyDescent="0.2">
      <c r="A4" s="13" t="s">
        <v>5</v>
      </c>
      <c r="B4" s="4" t="s">
        <v>6</v>
      </c>
      <c r="C4" s="544" t="s">
        <v>7</v>
      </c>
      <c r="D4" s="8" t="s">
        <v>8</v>
      </c>
      <c r="E4" s="4" t="s">
        <v>242</v>
      </c>
      <c r="F4" s="4" t="s">
        <v>374</v>
      </c>
      <c r="G4" s="38" t="s">
        <v>307</v>
      </c>
      <c r="H4" s="4" t="s">
        <v>375</v>
      </c>
      <c r="I4" s="354" t="s">
        <v>376</v>
      </c>
    </row>
    <row r="5" spans="1:13" ht="15" customHeight="1" thickBot="1" x14ac:dyDescent="0.25">
      <c r="A5" s="14" t="s">
        <v>9</v>
      </c>
      <c r="B5" s="5" t="s">
        <v>10</v>
      </c>
      <c r="C5" s="15"/>
      <c r="D5" s="355"/>
      <c r="E5" s="5" t="s">
        <v>293</v>
      </c>
      <c r="F5" s="338">
        <f>[2]Kap.01!F14</f>
        <v>44561</v>
      </c>
      <c r="G5" s="338">
        <f>F5</f>
        <v>44561</v>
      </c>
      <c r="H5" s="338" t="s">
        <v>220</v>
      </c>
      <c r="I5" s="356" t="s">
        <v>220</v>
      </c>
    </row>
    <row r="6" spans="1:13" s="661" customFormat="1" ht="18.75" customHeight="1" x14ac:dyDescent="0.25">
      <c r="A6" s="663" t="s">
        <v>11</v>
      </c>
      <c r="B6" s="30"/>
      <c r="C6" s="29"/>
      <c r="D6" s="664"/>
      <c r="E6" s="568"/>
      <c r="F6" s="568"/>
      <c r="G6" s="568"/>
      <c r="H6" s="665"/>
      <c r="I6" s="666"/>
      <c r="J6" s="352"/>
    </row>
    <row r="7" spans="1:13" ht="15" customHeight="1" x14ac:dyDescent="0.2">
      <c r="A7" s="26" t="s">
        <v>159</v>
      </c>
      <c r="B7" s="1054" t="s">
        <v>160</v>
      </c>
      <c r="C7" s="1055"/>
      <c r="D7" s="667"/>
      <c r="E7" s="855">
        <f>E8+E23</f>
        <v>225830</v>
      </c>
      <c r="F7" s="856">
        <f>F8+F23+F31+F33</f>
        <v>249964.40000000002</v>
      </c>
      <c r="G7" s="855">
        <f>G8+G23+G31+G33</f>
        <v>232412</v>
      </c>
      <c r="H7" s="538">
        <f t="shared" ref="H7:H38" si="0">(G7/E7)*100</f>
        <v>102.91458176504452</v>
      </c>
      <c r="I7" s="537">
        <f>G7/F7*100</f>
        <v>92.978040072906381</v>
      </c>
    </row>
    <row r="8" spans="1:13" ht="15" customHeight="1" x14ac:dyDescent="0.2">
      <c r="A8" s="26"/>
      <c r="B8" s="161"/>
      <c r="C8" s="192"/>
      <c r="D8" s="667" t="s">
        <v>161</v>
      </c>
      <c r="E8" s="855">
        <f>SUM(E9:E22)</f>
        <v>205738</v>
      </c>
      <c r="F8" s="856">
        <f>SUM(F9:F22)</f>
        <v>226716.2</v>
      </c>
      <c r="G8" s="855">
        <f>SUM(G9:G22)</f>
        <v>209073</v>
      </c>
      <c r="H8" s="538">
        <f t="shared" si="0"/>
        <v>101.62099369100505</v>
      </c>
      <c r="I8" s="537">
        <f>G8/F8*100</f>
        <v>92.21793590400685</v>
      </c>
      <c r="J8" s="357"/>
      <c r="L8" s="627"/>
      <c r="M8" s="668"/>
    </row>
    <row r="9" spans="1:13" ht="15" customHeight="1" x14ac:dyDescent="0.2">
      <c r="A9" s="193"/>
      <c r="B9" s="194"/>
      <c r="C9" s="669"/>
      <c r="D9" s="670" t="s">
        <v>162</v>
      </c>
      <c r="E9" s="853">
        <v>141100</v>
      </c>
      <c r="F9" s="854">
        <v>156554.70000000001</v>
      </c>
      <c r="G9" s="853">
        <v>145442</v>
      </c>
      <c r="H9" s="531">
        <f t="shared" si="0"/>
        <v>103.07725017717931</v>
      </c>
      <c r="I9" s="517">
        <f>G9/F9*100</f>
        <v>92.901714225123868</v>
      </c>
      <c r="J9" s="357"/>
      <c r="M9" s="627"/>
    </row>
    <row r="10" spans="1:13" x14ac:dyDescent="0.2">
      <c r="A10" s="193"/>
      <c r="B10" s="194"/>
      <c r="C10" s="669"/>
      <c r="D10" s="670" t="s">
        <v>163</v>
      </c>
      <c r="E10" s="853">
        <v>7480</v>
      </c>
      <c r="F10" s="854">
        <v>7481</v>
      </c>
      <c r="G10" s="853">
        <v>7380</v>
      </c>
      <c r="H10" s="531">
        <f t="shared" si="0"/>
        <v>98.663101604278069</v>
      </c>
      <c r="I10" s="517">
        <f t="shared" ref="I10:I17" si="1">G10/F10*100</f>
        <v>98.649913113220151</v>
      </c>
      <c r="J10" s="357"/>
      <c r="M10" s="627"/>
    </row>
    <row r="11" spans="1:13" ht="15" customHeight="1" x14ac:dyDescent="0.2">
      <c r="A11" s="193"/>
      <c r="B11" s="195" t="s">
        <v>219</v>
      </c>
      <c r="C11" s="669" t="s">
        <v>164</v>
      </c>
      <c r="D11" s="670" t="s">
        <v>165</v>
      </c>
      <c r="E11" s="853">
        <v>281</v>
      </c>
      <c r="F11" s="854">
        <v>281</v>
      </c>
      <c r="G11" s="853">
        <v>207</v>
      </c>
      <c r="H11" s="531">
        <f t="shared" si="0"/>
        <v>73.665480427046262</v>
      </c>
      <c r="I11" s="517">
        <f t="shared" si="1"/>
        <v>73.665480427046262</v>
      </c>
      <c r="J11" s="357"/>
      <c r="M11" s="627"/>
    </row>
    <row r="12" spans="1:13" ht="15" customHeight="1" x14ac:dyDescent="0.2">
      <c r="A12" s="193"/>
      <c r="B12" s="194"/>
      <c r="C12" s="669"/>
      <c r="D12" s="670" t="s">
        <v>166</v>
      </c>
      <c r="E12" s="853">
        <v>600</v>
      </c>
      <c r="F12" s="854">
        <v>600</v>
      </c>
      <c r="G12" s="853">
        <v>0</v>
      </c>
      <c r="H12" s="531">
        <f t="shared" si="0"/>
        <v>0</v>
      </c>
      <c r="I12" s="517">
        <f t="shared" si="1"/>
        <v>0</v>
      </c>
      <c r="J12" s="357"/>
      <c r="M12" s="627"/>
    </row>
    <row r="13" spans="1:13" ht="15" customHeight="1" x14ac:dyDescent="0.2">
      <c r="A13" s="193"/>
      <c r="B13" s="194"/>
      <c r="C13" s="669"/>
      <c r="D13" s="670" t="s">
        <v>167</v>
      </c>
      <c r="E13" s="853">
        <v>37000</v>
      </c>
      <c r="F13" s="854">
        <v>40808.800000000003</v>
      </c>
      <c r="G13" s="853">
        <v>37282</v>
      </c>
      <c r="H13" s="531">
        <f t="shared" si="0"/>
        <v>100.76216216216216</v>
      </c>
      <c r="I13" s="517">
        <f t="shared" si="1"/>
        <v>91.357746368430341</v>
      </c>
      <c r="J13" s="357"/>
      <c r="M13" s="627"/>
    </row>
    <row r="14" spans="1:13" ht="15" customHeight="1" x14ac:dyDescent="0.2">
      <c r="A14" s="193"/>
      <c r="B14" s="194"/>
      <c r="C14" s="669"/>
      <c r="D14" s="670" t="s">
        <v>168</v>
      </c>
      <c r="E14" s="853">
        <v>900</v>
      </c>
      <c r="F14" s="854">
        <v>1170</v>
      </c>
      <c r="G14" s="853">
        <v>1136</v>
      </c>
      <c r="H14" s="531">
        <f t="shared" si="0"/>
        <v>126.22222222222221</v>
      </c>
      <c r="I14" s="517">
        <f t="shared" si="1"/>
        <v>97.09401709401709</v>
      </c>
      <c r="J14" s="357"/>
      <c r="M14" s="627"/>
    </row>
    <row r="15" spans="1:13" ht="15" customHeight="1" x14ac:dyDescent="0.2">
      <c r="A15" s="193"/>
      <c r="B15" s="194"/>
      <c r="C15" s="669"/>
      <c r="D15" s="670" t="s">
        <v>169</v>
      </c>
      <c r="E15" s="853">
        <v>13400</v>
      </c>
      <c r="F15" s="854">
        <v>14810.8</v>
      </c>
      <c r="G15" s="853">
        <v>13528</v>
      </c>
      <c r="H15" s="531">
        <f t="shared" si="0"/>
        <v>100.95522388059702</v>
      </c>
      <c r="I15" s="517">
        <f t="shared" si="1"/>
        <v>91.338752802009353</v>
      </c>
      <c r="J15" s="357"/>
      <c r="M15" s="627"/>
    </row>
    <row r="16" spans="1:13" ht="15" customHeight="1" x14ac:dyDescent="0.2">
      <c r="A16" s="193"/>
      <c r="B16" s="194"/>
      <c r="C16" s="669"/>
      <c r="D16" s="670" t="s">
        <v>170</v>
      </c>
      <c r="E16" s="853">
        <v>700</v>
      </c>
      <c r="F16" s="854">
        <v>700</v>
      </c>
      <c r="G16" s="853">
        <v>687</v>
      </c>
      <c r="H16" s="531">
        <f t="shared" si="0"/>
        <v>98.142857142857139</v>
      </c>
      <c r="I16" s="517">
        <f t="shared" si="1"/>
        <v>98.142857142857139</v>
      </c>
      <c r="M16" s="627"/>
    </row>
    <row r="17" spans="1:13" ht="15" customHeight="1" x14ac:dyDescent="0.2">
      <c r="A17" s="193"/>
      <c r="B17" s="194"/>
      <c r="C17" s="669"/>
      <c r="D17" s="670" t="s">
        <v>114</v>
      </c>
      <c r="E17" s="853">
        <v>1700</v>
      </c>
      <c r="F17" s="854">
        <v>1825.1</v>
      </c>
      <c r="G17" s="853">
        <v>1143</v>
      </c>
      <c r="H17" s="531">
        <f t="shared" si="0"/>
        <v>67.235294117647058</v>
      </c>
      <c r="I17" s="517">
        <f t="shared" si="1"/>
        <v>62.62670538600625</v>
      </c>
      <c r="M17" s="627"/>
    </row>
    <row r="18" spans="1:13" ht="15" customHeight="1" x14ac:dyDescent="0.2">
      <c r="A18" s="1058"/>
      <c r="B18" s="1060"/>
      <c r="C18" s="1062"/>
      <c r="D18" s="671" t="s">
        <v>198</v>
      </c>
      <c r="E18" s="1052">
        <v>427</v>
      </c>
      <c r="F18" s="1050">
        <v>188.7</v>
      </c>
      <c r="G18" s="1052">
        <v>189</v>
      </c>
      <c r="H18" s="1041">
        <f t="shared" si="0"/>
        <v>44.26229508196721</v>
      </c>
      <c r="I18" s="1027">
        <f>G18/F18*100</f>
        <v>100.1589825119237</v>
      </c>
      <c r="M18" s="627"/>
    </row>
    <row r="19" spans="1:13" ht="15" customHeight="1" x14ac:dyDescent="0.2">
      <c r="A19" s="1059"/>
      <c r="B19" s="1061"/>
      <c r="C19" s="1063"/>
      <c r="D19" s="672" t="s">
        <v>199</v>
      </c>
      <c r="E19" s="1053"/>
      <c r="F19" s="1051"/>
      <c r="G19" s="1053"/>
      <c r="H19" s="1042"/>
      <c r="I19" s="1028"/>
      <c r="M19" s="627"/>
    </row>
    <row r="20" spans="1:13" ht="15" customHeight="1" x14ac:dyDescent="0.2">
      <c r="A20" s="975"/>
      <c r="B20" s="346"/>
      <c r="C20" s="476"/>
      <c r="D20" s="673" t="s">
        <v>184</v>
      </c>
      <c r="E20" s="962">
        <v>0</v>
      </c>
      <c r="F20" s="963">
        <v>146.1</v>
      </c>
      <c r="G20" s="962">
        <v>137</v>
      </c>
      <c r="H20" s="190">
        <v>0</v>
      </c>
      <c r="I20" s="469">
        <f>G20/F20*100</f>
        <v>93.771389459274474</v>
      </c>
      <c r="M20" s="627"/>
    </row>
    <row r="21" spans="1:13" ht="15" customHeight="1" x14ac:dyDescent="0.2">
      <c r="A21" s="193"/>
      <c r="B21" s="194"/>
      <c r="C21" s="669" t="s">
        <v>164</v>
      </c>
      <c r="D21" s="670" t="s">
        <v>254</v>
      </c>
      <c r="E21" s="853">
        <v>50</v>
      </c>
      <c r="F21" s="854">
        <v>50</v>
      </c>
      <c r="G21" s="853">
        <v>0</v>
      </c>
      <c r="H21" s="531">
        <f t="shared" si="0"/>
        <v>0</v>
      </c>
      <c r="I21" s="517">
        <f t="shared" ref="I21:I22" si="2">G21/F21*100</f>
        <v>0</v>
      </c>
      <c r="M21" s="627"/>
    </row>
    <row r="22" spans="1:13" ht="15" customHeight="1" x14ac:dyDescent="0.2">
      <c r="A22" s="193"/>
      <c r="B22" s="194"/>
      <c r="C22" s="669" t="s">
        <v>164</v>
      </c>
      <c r="D22" s="670" t="s">
        <v>171</v>
      </c>
      <c r="E22" s="853">
        <v>2100</v>
      </c>
      <c r="F22" s="854">
        <v>2100</v>
      </c>
      <c r="G22" s="853">
        <v>1942</v>
      </c>
      <c r="H22" s="531">
        <f t="shared" si="0"/>
        <v>92.476190476190482</v>
      </c>
      <c r="I22" s="517">
        <f t="shared" si="2"/>
        <v>92.476190476190482</v>
      </c>
      <c r="M22" s="627"/>
    </row>
    <row r="23" spans="1:13" ht="15" customHeight="1" x14ac:dyDescent="0.2">
      <c r="A23" s="26"/>
      <c r="B23" s="161"/>
      <c r="C23" s="192"/>
      <c r="D23" s="667" t="s">
        <v>172</v>
      </c>
      <c r="E23" s="855">
        <f>SUM(E24:E30)</f>
        <v>20092</v>
      </c>
      <c r="F23" s="856">
        <f>SUM(F24:F30)</f>
        <v>20525.2</v>
      </c>
      <c r="G23" s="855">
        <f>SUM(G24:G30)</f>
        <v>20393</v>
      </c>
      <c r="H23" s="538">
        <f t="shared" si="0"/>
        <v>101.49810869998008</v>
      </c>
      <c r="I23" s="358">
        <f t="shared" ref="I23" si="3">(G23/F23)*100</f>
        <v>99.355913706078383</v>
      </c>
      <c r="L23" s="627"/>
    </row>
    <row r="24" spans="1:13" ht="15" customHeight="1" x14ac:dyDescent="0.2">
      <c r="A24" s="193"/>
      <c r="B24" s="194"/>
      <c r="C24" s="196"/>
      <c r="D24" s="670" t="s">
        <v>173</v>
      </c>
      <c r="E24" s="853">
        <v>15692</v>
      </c>
      <c r="F24" s="854">
        <v>16063.5</v>
      </c>
      <c r="G24" s="853">
        <v>15998</v>
      </c>
      <c r="H24" s="531">
        <f t="shared" si="0"/>
        <v>101.95003823604385</v>
      </c>
      <c r="I24" s="517">
        <f t="shared" ref="I24:I34" si="4">G24/F24*100</f>
        <v>99.592243284464772</v>
      </c>
    </row>
    <row r="25" spans="1:13" ht="15" customHeight="1" x14ac:dyDescent="0.2">
      <c r="A25" s="193"/>
      <c r="B25" s="194"/>
      <c r="C25" s="196" t="s">
        <v>284</v>
      </c>
      <c r="D25" s="670" t="s">
        <v>285</v>
      </c>
      <c r="E25" s="853">
        <v>60</v>
      </c>
      <c r="F25" s="854">
        <v>60</v>
      </c>
      <c r="G25" s="853">
        <v>33</v>
      </c>
      <c r="H25" s="531">
        <f t="shared" si="0"/>
        <v>55.000000000000007</v>
      </c>
      <c r="I25" s="517">
        <f t="shared" si="4"/>
        <v>55.000000000000007</v>
      </c>
    </row>
    <row r="26" spans="1:13" ht="15" customHeight="1" x14ac:dyDescent="0.2">
      <c r="A26" s="193"/>
      <c r="B26" s="194"/>
      <c r="C26" s="196"/>
      <c r="D26" s="670" t="s">
        <v>167</v>
      </c>
      <c r="E26" s="853">
        <v>2743</v>
      </c>
      <c r="F26" s="854">
        <v>2788.4</v>
      </c>
      <c r="G26" s="853">
        <v>2790</v>
      </c>
      <c r="H26" s="531">
        <f t="shared" si="0"/>
        <v>101.71345242435291</v>
      </c>
      <c r="I26" s="517">
        <f t="shared" si="4"/>
        <v>100.05738057667479</v>
      </c>
    </row>
    <row r="27" spans="1:13" ht="15" customHeight="1" x14ac:dyDescent="0.2">
      <c r="A27" s="193"/>
      <c r="B27" s="194"/>
      <c r="C27" s="196"/>
      <c r="D27" s="670" t="s">
        <v>168</v>
      </c>
      <c r="E27" s="853">
        <v>15</v>
      </c>
      <c r="F27" s="854">
        <v>15</v>
      </c>
      <c r="G27" s="853">
        <v>0</v>
      </c>
      <c r="H27" s="531">
        <f t="shared" si="0"/>
        <v>0</v>
      </c>
      <c r="I27" s="517">
        <f t="shared" si="4"/>
        <v>0</v>
      </c>
    </row>
    <row r="28" spans="1:13" ht="15" customHeight="1" x14ac:dyDescent="0.2">
      <c r="A28" s="193"/>
      <c r="B28" s="194"/>
      <c r="C28" s="196"/>
      <c r="D28" s="670" t="s">
        <v>169</v>
      </c>
      <c r="E28" s="853">
        <v>1437</v>
      </c>
      <c r="F28" s="854">
        <v>1453.3</v>
      </c>
      <c r="G28" s="853">
        <v>1453</v>
      </c>
      <c r="H28" s="531">
        <f t="shared" si="0"/>
        <v>101.1134307585247</v>
      </c>
      <c r="I28" s="517">
        <f t="shared" si="4"/>
        <v>99.979357324709284</v>
      </c>
    </row>
    <row r="29" spans="1:13" ht="15" customHeight="1" x14ac:dyDescent="0.2">
      <c r="A29" s="193"/>
      <c r="B29" s="194"/>
      <c r="C29" s="669" t="s">
        <v>164</v>
      </c>
      <c r="D29" s="670" t="s">
        <v>174</v>
      </c>
      <c r="E29" s="853">
        <v>84</v>
      </c>
      <c r="F29" s="854">
        <v>84</v>
      </c>
      <c r="G29" s="853">
        <v>58</v>
      </c>
      <c r="H29" s="531">
        <f t="shared" si="0"/>
        <v>69.047619047619051</v>
      </c>
      <c r="I29" s="517">
        <f t="shared" si="4"/>
        <v>69.047619047619051</v>
      </c>
    </row>
    <row r="30" spans="1:13" ht="15" customHeight="1" x14ac:dyDescent="0.2">
      <c r="A30" s="193"/>
      <c r="B30" s="195" t="s">
        <v>218</v>
      </c>
      <c r="C30" s="669" t="s">
        <v>228</v>
      </c>
      <c r="D30" s="670" t="s">
        <v>197</v>
      </c>
      <c r="E30" s="853">
        <v>61</v>
      </c>
      <c r="F30" s="854">
        <v>61</v>
      </c>
      <c r="G30" s="853">
        <v>61</v>
      </c>
      <c r="H30" s="531">
        <f t="shared" si="0"/>
        <v>100</v>
      </c>
      <c r="I30" s="517">
        <f t="shared" si="4"/>
        <v>100</v>
      </c>
    </row>
    <row r="31" spans="1:13" ht="15" customHeight="1" x14ac:dyDescent="0.2">
      <c r="A31" s="193"/>
      <c r="B31" s="195"/>
      <c r="C31" s="669" t="s">
        <v>484</v>
      </c>
      <c r="D31" s="667" t="s">
        <v>483</v>
      </c>
      <c r="E31" s="855">
        <v>0</v>
      </c>
      <c r="F31" s="855">
        <f>SUM(F32)</f>
        <v>3</v>
      </c>
      <c r="G31" s="855">
        <f>SUM(G32)</f>
        <v>0</v>
      </c>
      <c r="H31" s="84" t="s">
        <v>305</v>
      </c>
      <c r="I31" s="537">
        <f t="shared" si="4"/>
        <v>0</v>
      </c>
    </row>
    <row r="32" spans="1:13" ht="15" customHeight="1" x14ac:dyDescent="0.2">
      <c r="A32" s="193"/>
      <c r="B32" s="350"/>
      <c r="C32" s="674"/>
      <c r="D32" s="670" t="s">
        <v>163</v>
      </c>
      <c r="E32" s="853">
        <v>0</v>
      </c>
      <c r="F32" s="853">
        <v>3</v>
      </c>
      <c r="G32" s="853">
        <v>0</v>
      </c>
      <c r="H32" s="171" t="s">
        <v>305</v>
      </c>
      <c r="I32" s="517">
        <f t="shared" si="4"/>
        <v>0</v>
      </c>
    </row>
    <row r="33" spans="1:12" ht="15" customHeight="1" x14ac:dyDescent="0.2">
      <c r="A33" s="974"/>
      <c r="B33" s="201"/>
      <c r="C33" s="671" t="s">
        <v>482</v>
      </c>
      <c r="D33" s="525" t="s">
        <v>481</v>
      </c>
      <c r="E33" s="512">
        <f>SUM(E34)</f>
        <v>0</v>
      </c>
      <c r="F33" s="513">
        <f>SUM(F34)</f>
        <v>2720</v>
      </c>
      <c r="G33" s="512">
        <f>SUM(G34)</f>
        <v>2946</v>
      </c>
      <c r="H33" s="84" t="s">
        <v>305</v>
      </c>
      <c r="I33" s="537">
        <f t="shared" si="4"/>
        <v>108.30882352941175</v>
      </c>
    </row>
    <row r="34" spans="1:12" ht="15" customHeight="1" x14ac:dyDescent="0.2">
      <c r="A34" s="974"/>
      <c r="B34" s="201"/>
      <c r="C34" s="671"/>
      <c r="D34" s="673" t="s">
        <v>505</v>
      </c>
      <c r="E34" s="535">
        <v>0</v>
      </c>
      <c r="F34" s="536">
        <v>2720</v>
      </c>
      <c r="G34" s="535">
        <v>2946</v>
      </c>
      <c r="H34" s="171" t="s">
        <v>305</v>
      </c>
      <c r="I34" s="517">
        <f t="shared" si="4"/>
        <v>108.30882352941175</v>
      </c>
    </row>
    <row r="35" spans="1:12" ht="15" customHeight="1" x14ac:dyDescent="0.2">
      <c r="A35" s="974"/>
      <c r="B35" s="448"/>
      <c r="C35" s="675"/>
      <c r="D35" s="673"/>
      <c r="E35" s="535"/>
      <c r="F35" s="536"/>
      <c r="G35" s="535"/>
      <c r="H35" s="171"/>
      <c r="I35" s="517"/>
    </row>
    <row r="36" spans="1:12" ht="15" customHeight="1" x14ac:dyDescent="0.2">
      <c r="A36" s="26" t="s">
        <v>275</v>
      </c>
      <c r="B36" s="1054" t="s">
        <v>274</v>
      </c>
      <c r="C36" s="1055"/>
      <c r="D36" s="667" t="s">
        <v>161</v>
      </c>
      <c r="E36" s="855">
        <f>E37+E38</f>
        <v>194</v>
      </c>
      <c r="F36" s="856">
        <f>F37+F38</f>
        <v>194</v>
      </c>
      <c r="G36" s="855">
        <f>G37+G38</f>
        <v>183</v>
      </c>
      <c r="H36" s="538">
        <f t="shared" si="0"/>
        <v>94.329896907216494</v>
      </c>
      <c r="I36" s="358">
        <f t="shared" ref="I36" si="5">(G36/F36)*100</f>
        <v>94.329896907216494</v>
      </c>
      <c r="L36" s="627"/>
    </row>
    <row r="37" spans="1:12" ht="15" customHeight="1" x14ac:dyDescent="0.2">
      <c r="A37" s="193"/>
      <c r="B37" s="197"/>
      <c r="C37" s="669"/>
      <c r="D37" s="198" t="s">
        <v>103</v>
      </c>
      <c r="E37" s="853">
        <v>14</v>
      </c>
      <c r="F37" s="854">
        <v>14</v>
      </c>
      <c r="G37" s="853">
        <v>5</v>
      </c>
      <c r="H37" s="531">
        <f t="shared" si="0"/>
        <v>35.714285714285715</v>
      </c>
      <c r="I37" s="517">
        <f t="shared" ref="I37:I38" si="6">G37/F37*100</f>
        <v>35.714285714285715</v>
      </c>
    </row>
    <row r="38" spans="1:12" ht="15" customHeight="1" x14ac:dyDescent="0.2">
      <c r="A38" s="974"/>
      <c r="B38" s="203" t="s">
        <v>201</v>
      </c>
      <c r="C38" s="204" t="s">
        <v>258</v>
      </c>
      <c r="D38" s="676" t="s">
        <v>176</v>
      </c>
      <c r="E38" s="677">
        <v>180</v>
      </c>
      <c r="F38" s="449">
        <v>180</v>
      </c>
      <c r="G38" s="677">
        <v>178</v>
      </c>
      <c r="H38" s="678">
        <f t="shared" si="0"/>
        <v>98.888888888888886</v>
      </c>
      <c r="I38" s="517">
        <f t="shared" si="6"/>
        <v>98.888888888888886</v>
      </c>
    </row>
    <row r="39" spans="1:12" ht="15" customHeight="1" x14ac:dyDescent="0.2">
      <c r="A39" s="974"/>
      <c r="B39" s="203"/>
      <c r="C39" s="204"/>
      <c r="D39" s="676"/>
      <c r="E39" s="677"/>
      <c r="F39" s="449"/>
      <c r="G39" s="677"/>
      <c r="H39" s="533"/>
      <c r="I39" s="517"/>
    </row>
    <row r="40" spans="1:12" ht="15" customHeight="1" x14ac:dyDescent="0.2">
      <c r="A40" s="26" t="s">
        <v>200</v>
      </c>
      <c r="B40" s="679" t="s">
        <v>141</v>
      </c>
      <c r="C40" s="519"/>
      <c r="D40" s="667"/>
      <c r="E40" s="855">
        <f>E41+E53</f>
        <v>40999</v>
      </c>
      <c r="F40" s="856">
        <f>F41+F53</f>
        <v>42715.7</v>
      </c>
      <c r="G40" s="855">
        <f>G41+G53</f>
        <v>39257</v>
      </c>
      <c r="H40" s="538">
        <f>G40/E40*100</f>
        <v>95.751115880875147</v>
      </c>
      <c r="I40" s="358">
        <f>G40/F40*100</f>
        <v>91.902977125506553</v>
      </c>
      <c r="L40" s="627"/>
    </row>
    <row r="41" spans="1:12" ht="15" customHeight="1" x14ac:dyDescent="0.2">
      <c r="A41" s="26"/>
      <c r="B41" s="679"/>
      <c r="C41" s="679"/>
      <c r="D41" s="667" t="s">
        <v>161</v>
      </c>
      <c r="E41" s="855">
        <f>SUM(E43:E46)</f>
        <v>1050</v>
      </c>
      <c r="F41" s="856">
        <f>SUM(F42:F46)</f>
        <v>1150</v>
      </c>
      <c r="G41" s="855">
        <f>SUM(G42:G46)</f>
        <v>203</v>
      </c>
      <c r="H41" s="538">
        <f>G41/E41*100</f>
        <v>19.333333333333332</v>
      </c>
      <c r="I41" s="358">
        <f>G41/F41*100</f>
        <v>17.652173913043477</v>
      </c>
    </row>
    <row r="42" spans="1:12" ht="15" customHeight="1" x14ac:dyDescent="0.2">
      <c r="A42" s="26"/>
      <c r="B42" s="199">
        <v>931</v>
      </c>
      <c r="C42" s="679"/>
      <c r="D42" s="670" t="s">
        <v>113</v>
      </c>
      <c r="E42" s="853">
        <v>0</v>
      </c>
      <c r="F42" s="854">
        <v>76.2</v>
      </c>
      <c r="G42" s="853">
        <v>18</v>
      </c>
      <c r="H42" s="171" t="s">
        <v>305</v>
      </c>
      <c r="I42" s="517">
        <f t="shared" ref="I42:I46" si="7">G42/F42*100</f>
        <v>23.622047244094489</v>
      </c>
    </row>
    <row r="43" spans="1:12" ht="15" customHeight="1" x14ac:dyDescent="0.2">
      <c r="A43" s="986"/>
      <c r="B43" s="199">
        <v>931</v>
      </c>
      <c r="C43" s="680"/>
      <c r="D43" s="670" t="s">
        <v>116</v>
      </c>
      <c r="E43" s="853">
        <v>700</v>
      </c>
      <c r="F43" s="854">
        <v>700</v>
      </c>
      <c r="G43" s="853">
        <v>75</v>
      </c>
      <c r="H43" s="531">
        <f t="shared" ref="H43:H94" si="8">(G43/E43)*100</f>
        <v>10.714285714285714</v>
      </c>
      <c r="I43" s="517">
        <f t="shared" si="7"/>
        <v>10.714285714285714</v>
      </c>
    </row>
    <row r="44" spans="1:12" ht="15" customHeight="1" x14ac:dyDescent="0.2">
      <c r="A44" s="986"/>
      <c r="B44" s="348">
        <v>931</v>
      </c>
      <c r="C44" s="680"/>
      <c r="D44" s="198" t="s">
        <v>103</v>
      </c>
      <c r="E44" s="853">
        <v>350</v>
      </c>
      <c r="F44" s="854">
        <v>273.8</v>
      </c>
      <c r="G44" s="853">
        <v>10</v>
      </c>
      <c r="H44" s="531">
        <f t="shared" si="8"/>
        <v>2.8571428571428572</v>
      </c>
      <c r="I44" s="517">
        <f t="shared" si="7"/>
        <v>3.6523009495982466</v>
      </c>
    </row>
    <row r="45" spans="1:12" ht="15" customHeight="1" x14ac:dyDescent="0.2">
      <c r="A45" s="987"/>
      <c r="B45" s="347">
        <v>931</v>
      </c>
      <c r="C45" s="681"/>
      <c r="D45" s="682" t="s">
        <v>463</v>
      </c>
      <c r="E45" s="964">
        <v>0</v>
      </c>
      <c r="F45" s="965">
        <v>50</v>
      </c>
      <c r="G45" s="964">
        <v>50</v>
      </c>
      <c r="H45" s="171" t="s">
        <v>305</v>
      </c>
      <c r="I45" s="517">
        <f t="shared" si="7"/>
        <v>100</v>
      </c>
    </row>
    <row r="46" spans="1:12" ht="15" customHeight="1" thickBot="1" x14ac:dyDescent="0.25">
      <c r="A46" s="988"/>
      <c r="B46" s="226">
        <v>931</v>
      </c>
      <c r="C46" s="683"/>
      <c r="D46" s="227" t="s">
        <v>464</v>
      </c>
      <c r="E46" s="966">
        <v>0</v>
      </c>
      <c r="F46" s="967">
        <v>50</v>
      </c>
      <c r="G46" s="966">
        <v>50</v>
      </c>
      <c r="H46" s="221" t="s">
        <v>305</v>
      </c>
      <c r="I46" s="684">
        <f t="shared" si="7"/>
        <v>100</v>
      </c>
    </row>
    <row r="47" spans="1:12" ht="15" customHeight="1" x14ac:dyDescent="0.2">
      <c r="A47" s="685"/>
      <c r="B47" s="686"/>
      <c r="C47" s="687"/>
      <c r="D47" s="688"/>
      <c r="E47" s="689"/>
      <c r="F47" s="690"/>
      <c r="G47" s="689"/>
      <c r="H47" s="691"/>
      <c r="I47" s="692"/>
    </row>
    <row r="48" spans="1:12" ht="15" customHeight="1" x14ac:dyDescent="0.2">
      <c r="A48" s="685"/>
      <c r="B48" s="686"/>
      <c r="C48" s="687"/>
      <c r="D48" s="688"/>
      <c r="E48" s="689"/>
      <c r="F48" s="690"/>
      <c r="G48" s="689"/>
      <c r="H48" s="691"/>
      <c r="I48" s="692"/>
    </row>
    <row r="49" spans="1:10" ht="15" customHeight="1" thickBot="1" x14ac:dyDescent="0.25">
      <c r="A49" s="685"/>
      <c r="B49" s="686"/>
      <c r="C49" s="687"/>
      <c r="D49" s="688"/>
      <c r="E49" s="689"/>
      <c r="F49" s="690"/>
      <c r="G49" s="689"/>
      <c r="H49" s="693"/>
      <c r="I49" s="694" t="s">
        <v>591</v>
      </c>
      <c r="J49" s="359"/>
    </row>
    <row r="50" spans="1:10" ht="15" customHeight="1" x14ac:dyDescent="0.2">
      <c r="A50" s="11" t="s">
        <v>1</v>
      </c>
      <c r="B50" s="3" t="s">
        <v>2</v>
      </c>
      <c r="C50" s="12" t="s">
        <v>3</v>
      </c>
      <c r="D50" s="662"/>
      <c r="E50" s="3" t="s">
        <v>4</v>
      </c>
      <c r="F50" s="3" t="s">
        <v>372</v>
      </c>
      <c r="G50" s="37" t="s">
        <v>306</v>
      </c>
      <c r="H50" s="3" t="s">
        <v>373</v>
      </c>
      <c r="I50" s="353" t="s">
        <v>373</v>
      </c>
      <c r="J50" s="359"/>
    </row>
    <row r="51" spans="1:10" ht="15" customHeight="1" x14ac:dyDescent="0.2">
      <c r="A51" s="13" t="s">
        <v>5</v>
      </c>
      <c r="B51" s="4" t="s">
        <v>6</v>
      </c>
      <c r="C51" s="544" t="s">
        <v>7</v>
      </c>
      <c r="D51" s="8" t="s">
        <v>8</v>
      </c>
      <c r="E51" s="4" t="s">
        <v>242</v>
      </c>
      <c r="F51" s="4" t="s">
        <v>374</v>
      </c>
      <c r="G51" s="38" t="s">
        <v>307</v>
      </c>
      <c r="H51" s="4" t="s">
        <v>375</v>
      </c>
      <c r="I51" s="354" t="s">
        <v>376</v>
      </c>
      <c r="J51" s="359"/>
    </row>
    <row r="52" spans="1:10" ht="15" customHeight="1" thickBot="1" x14ac:dyDescent="0.25">
      <c r="A52" s="14" t="s">
        <v>9</v>
      </c>
      <c r="B52" s="5" t="s">
        <v>10</v>
      </c>
      <c r="C52" s="15"/>
      <c r="D52" s="355"/>
      <c r="E52" s="5" t="s">
        <v>293</v>
      </c>
      <c r="F52" s="338">
        <f>F5</f>
        <v>44561</v>
      </c>
      <c r="G52" s="338">
        <f>G5</f>
        <v>44561</v>
      </c>
      <c r="H52" s="338" t="s">
        <v>220</v>
      </c>
      <c r="I52" s="356" t="s">
        <v>220</v>
      </c>
      <c r="J52" s="359"/>
    </row>
    <row r="53" spans="1:10" ht="15" customHeight="1" x14ac:dyDescent="0.2">
      <c r="A53" s="25"/>
      <c r="B53" s="525"/>
      <c r="C53" s="495" t="s">
        <v>205</v>
      </c>
      <c r="D53" s="525" t="s">
        <v>161</v>
      </c>
      <c r="E53" s="512">
        <f>SUM(E54:E77)</f>
        <v>39949</v>
      </c>
      <c r="F53" s="513">
        <f>SUM(F54:F76)</f>
        <v>41565.699999999997</v>
      </c>
      <c r="G53" s="512">
        <f>SUM(G54:G76)</f>
        <v>39054</v>
      </c>
      <c r="H53" s="695">
        <f t="shared" si="8"/>
        <v>97.759643545520532</v>
      </c>
      <c r="I53" s="358">
        <f t="shared" ref="I53" si="9">(G53/F53)*100</f>
        <v>93.957277274291073</v>
      </c>
    </row>
    <row r="54" spans="1:10" ht="15" customHeight="1" x14ac:dyDescent="0.2">
      <c r="A54" s="193"/>
      <c r="B54" s="197"/>
      <c r="C54" s="196" t="s">
        <v>111</v>
      </c>
      <c r="D54" s="670" t="s">
        <v>177</v>
      </c>
      <c r="E54" s="853">
        <v>20</v>
      </c>
      <c r="F54" s="854">
        <v>20</v>
      </c>
      <c r="G54" s="853">
        <v>19</v>
      </c>
      <c r="H54" s="531">
        <f t="shared" si="8"/>
        <v>95</v>
      </c>
      <c r="I54" s="517">
        <f t="shared" ref="I54:I77" si="10">G54/F54*100</f>
        <v>95</v>
      </c>
    </row>
    <row r="55" spans="1:10" ht="15" customHeight="1" x14ac:dyDescent="0.2">
      <c r="A55" s="193"/>
      <c r="B55" s="197"/>
      <c r="C55" s="196" t="s">
        <v>111</v>
      </c>
      <c r="D55" s="670" t="s">
        <v>112</v>
      </c>
      <c r="E55" s="853">
        <v>85</v>
      </c>
      <c r="F55" s="854">
        <v>85</v>
      </c>
      <c r="G55" s="853">
        <v>58</v>
      </c>
      <c r="H55" s="531">
        <f t="shared" si="8"/>
        <v>68.235294117647058</v>
      </c>
      <c r="I55" s="517">
        <f t="shared" si="10"/>
        <v>68.235294117647058</v>
      </c>
    </row>
    <row r="56" spans="1:10" ht="15" customHeight="1" x14ac:dyDescent="0.2">
      <c r="A56" s="193"/>
      <c r="B56" s="197"/>
      <c r="C56" s="196" t="s">
        <v>111</v>
      </c>
      <c r="D56" s="670" t="s">
        <v>147</v>
      </c>
      <c r="E56" s="853">
        <v>200</v>
      </c>
      <c r="F56" s="854">
        <v>223.5</v>
      </c>
      <c r="G56" s="853">
        <v>193</v>
      </c>
      <c r="H56" s="531">
        <f t="shared" si="8"/>
        <v>96.5</v>
      </c>
      <c r="I56" s="517">
        <f t="shared" si="10"/>
        <v>86.353467561521256</v>
      </c>
    </row>
    <row r="57" spans="1:10" ht="15" customHeight="1" x14ac:dyDescent="0.2">
      <c r="A57" s="193"/>
      <c r="B57" s="197"/>
      <c r="C57" s="196"/>
      <c r="D57" s="670" t="s">
        <v>148</v>
      </c>
      <c r="E57" s="853">
        <v>2300</v>
      </c>
      <c r="F57" s="854">
        <v>3050</v>
      </c>
      <c r="G57" s="853">
        <v>2736</v>
      </c>
      <c r="H57" s="531">
        <f t="shared" si="8"/>
        <v>118.95652173913042</v>
      </c>
      <c r="I57" s="517">
        <f t="shared" si="10"/>
        <v>89.704918032786878</v>
      </c>
    </row>
    <row r="58" spans="1:10" ht="15" customHeight="1" x14ac:dyDescent="0.2">
      <c r="A58" s="193"/>
      <c r="B58" s="197"/>
      <c r="C58" s="196"/>
      <c r="D58" s="670" t="s">
        <v>178</v>
      </c>
      <c r="E58" s="853">
        <v>900</v>
      </c>
      <c r="F58" s="854">
        <v>920</v>
      </c>
      <c r="G58" s="853">
        <v>811</v>
      </c>
      <c r="H58" s="531">
        <f t="shared" si="8"/>
        <v>90.111111111111114</v>
      </c>
      <c r="I58" s="517">
        <f t="shared" si="10"/>
        <v>88.15217391304347</v>
      </c>
    </row>
    <row r="59" spans="1:10" ht="15" customHeight="1" x14ac:dyDescent="0.2">
      <c r="A59" s="193"/>
      <c r="B59" s="197"/>
      <c r="C59" s="196"/>
      <c r="D59" s="670" t="s">
        <v>450</v>
      </c>
      <c r="E59" s="853">
        <v>400</v>
      </c>
      <c r="F59" s="854">
        <v>410</v>
      </c>
      <c r="G59" s="853">
        <v>408</v>
      </c>
      <c r="H59" s="531">
        <f t="shared" si="8"/>
        <v>102</v>
      </c>
      <c r="I59" s="517">
        <f t="shared" si="10"/>
        <v>99.512195121951223</v>
      </c>
    </row>
    <row r="60" spans="1:10" ht="15" customHeight="1" x14ac:dyDescent="0.2">
      <c r="A60" s="193"/>
      <c r="B60" s="197"/>
      <c r="C60" s="196"/>
      <c r="D60" s="670" t="s">
        <v>179</v>
      </c>
      <c r="E60" s="853">
        <v>2500</v>
      </c>
      <c r="F60" s="854">
        <v>2050</v>
      </c>
      <c r="G60" s="853">
        <v>1847</v>
      </c>
      <c r="H60" s="531">
        <f t="shared" si="8"/>
        <v>73.88</v>
      </c>
      <c r="I60" s="517">
        <f t="shared" si="10"/>
        <v>90.097560975609753</v>
      </c>
    </row>
    <row r="61" spans="1:10" ht="15" customHeight="1" x14ac:dyDescent="0.2">
      <c r="A61" s="193"/>
      <c r="B61" s="197"/>
      <c r="C61" s="196"/>
      <c r="D61" s="670" t="s">
        <v>152</v>
      </c>
      <c r="E61" s="853">
        <v>3950</v>
      </c>
      <c r="F61" s="854">
        <v>4240</v>
      </c>
      <c r="G61" s="853">
        <v>3460</v>
      </c>
      <c r="H61" s="531">
        <f t="shared" si="8"/>
        <v>87.594936708860757</v>
      </c>
      <c r="I61" s="517">
        <f t="shared" si="10"/>
        <v>81.603773584905653</v>
      </c>
    </row>
    <row r="62" spans="1:10" ht="15" customHeight="1" x14ac:dyDescent="0.2">
      <c r="A62" s="193"/>
      <c r="B62" s="197"/>
      <c r="C62" s="196"/>
      <c r="D62" s="670" t="s">
        <v>180</v>
      </c>
      <c r="E62" s="853">
        <v>260</v>
      </c>
      <c r="F62" s="854">
        <v>340</v>
      </c>
      <c r="G62" s="853">
        <v>236</v>
      </c>
      <c r="H62" s="531">
        <f t="shared" si="8"/>
        <v>90.769230769230774</v>
      </c>
      <c r="I62" s="517">
        <f t="shared" si="10"/>
        <v>69.411764705882348</v>
      </c>
    </row>
    <row r="63" spans="1:10" ht="15" customHeight="1" x14ac:dyDescent="0.2">
      <c r="A63" s="193"/>
      <c r="B63" s="197"/>
      <c r="C63" s="196"/>
      <c r="D63" s="673" t="s">
        <v>181</v>
      </c>
      <c r="E63" s="853">
        <v>3500</v>
      </c>
      <c r="F63" s="854">
        <v>3560</v>
      </c>
      <c r="G63" s="853">
        <v>3492</v>
      </c>
      <c r="H63" s="531">
        <f t="shared" si="8"/>
        <v>99.771428571428572</v>
      </c>
      <c r="I63" s="517">
        <f t="shared" si="10"/>
        <v>98.089887640449433</v>
      </c>
    </row>
    <row r="64" spans="1:10" ht="15" customHeight="1" x14ac:dyDescent="0.2">
      <c r="A64" s="193"/>
      <c r="B64" s="197"/>
      <c r="C64" s="196"/>
      <c r="D64" s="670" t="s">
        <v>182</v>
      </c>
      <c r="E64" s="853">
        <v>800</v>
      </c>
      <c r="F64" s="854">
        <v>930</v>
      </c>
      <c r="G64" s="853">
        <v>672</v>
      </c>
      <c r="H64" s="531">
        <f t="shared" si="8"/>
        <v>84</v>
      </c>
      <c r="I64" s="517">
        <f t="shared" si="10"/>
        <v>72.258064516129025</v>
      </c>
    </row>
    <row r="65" spans="1:12" ht="15" customHeight="1" x14ac:dyDescent="0.2">
      <c r="A65" s="193"/>
      <c r="B65" s="197"/>
      <c r="C65" s="196"/>
      <c r="D65" s="696" t="s">
        <v>104</v>
      </c>
      <c r="E65" s="853">
        <v>180</v>
      </c>
      <c r="F65" s="854">
        <v>180</v>
      </c>
      <c r="G65" s="853">
        <v>176</v>
      </c>
      <c r="H65" s="531">
        <f t="shared" si="8"/>
        <v>97.777777777777771</v>
      </c>
      <c r="I65" s="517">
        <f t="shared" si="10"/>
        <v>97.777777777777771</v>
      </c>
      <c r="J65" s="361"/>
    </row>
    <row r="66" spans="1:12" ht="15" customHeight="1" x14ac:dyDescent="0.2">
      <c r="A66" s="193"/>
      <c r="B66" s="197"/>
      <c r="C66" s="672"/>
      <c r="D66" s="673" t="s">
        <v>149</v>
      </c>
      <c r="E66" s="853">
        <v>500</v>
      </c>
      <c r="F66" s="854">
        <v>620</v>
      </c>
      <c r="G66" s="853">
        <v>400</v>
      </c>
      <c r="H66" s="531">
        <f t="shared" si="8"/>
        <v>80</v>
      </c>
      <c r="I66" s="517">
        <f t="shared" si="10"/>
        <v>64.516129032258064</v>
      </c>
    </row>
    <row r="67" spans="1:12" ht="15" customHeight="1" x14ac:dyDescent="0.2">
      <c r="A67" s="193"/>
      <c r="B67" s="197"/>
      <c r="C67" s="669"/>
      <c r="D67" s="670" t="s">
        <v>116</v>
      </c>
      <c r="E67" s="853">
        <v>24</v>
      </c>
      <c r="F67" s="854">
        <v>24</v>
      </c>
      <c r="G67" s="853">
        <v>0</v>
      </c>
      <c r="H67" s="531">
        <f t="shared" si="8"/>
        <v>0</v>
      </c>
      <c r="I67" s="517">
        <f t="shared" si="10"/>
        <v>0</v>
      </c>
    </row>
    <row r="68" spans="1:12" ht="15" customHeight="1" x14ac:dyDescent="0.2">
      <c r="A68" s="193"/>
      <c r="B68" s="197"/>
      <c r="C68" s="669"/>
      <c r="D68" s="670" t="s">
        <v>103</v>
      </c>
      <c r="E68" s="853">
        <v>14000</v>
      </c>
      <c r="F68" s="854">
        <v>14000</v>
      </c>
      <c r="G68" s="853">
        <v>13727</v>
      </c>
      <c r="H68" s="531">
        <f t="shared" si="8"/>
        <v>98.05</v>
      </c>
      <c r="I68" s="517">
        <f t="shared" si="10"/>
        <v>98.05</v>
      </c>
    </row>
    <row r="69" spans="1:12" ht="15" customHeight="1" x14ac:dyDescent="0.2">
      <c r="A69" s="193"/>
      <c r="B69" s="197"/>
      <c r="C69" s="669" t="s">
        <v>164</v>
      </c>
      <c r="D69" s="670" t="s">
        <v>183</v>
      </c>
      <c r="E69" s="853">
        <v>2800</v>
      </c>
      <c r="F69" s="854">
        <v>2800</v>
      </c>
      <c r="G69" s="853">
        <v>2396</v>
      </c>
      <c r="H69" s="531">
        <f t="shared" si="8"/>
        <v>85.571428571428569</v>
      </c>
      <c r="I69" s="517">
        <f t="shared" si="10"/>
        <v>85.571428571428569</v>
      </c>
    </row>
    <row r="70" spans="1:12" ht="15" customHeight="1" x14ac:dyDescent="0.2">
      <c r="A70" s="193"/>
      <c r="B70" s="197"/>
      <c r="C70" s="669"/>
      <c r="D70" s="670" t="s">
        <v>150</v>
      </c>
      <c r="E70" s="853">
        <v>7300</v>
      </c>
      <c r="F70" s="854">
        <v>7300</v>
      </c>
      <c r="G70" s="853">
        <v>7206</v>
      </c>
      <c r="H70" s="531">
        <f t="shared" si="8"/>
        <v>98.712328767123296</v>
      </c>
      <c r="I70" s="517">
        <f t="shared" si="10"/>
        <v>98.712328767123296</v>
      </c>
    </row>
    <row r="71" spans="1:12" ht="15" customHeight="1" x14ac:dyDescent="0.2">
      <c r="A71" s="193"/>
      <c r="B71" s="197"/>
      <c r="C71" s="669"/>
      <c r="D71" s="670" t="s">
        <v>184</v>
      </c>
      <c r="E71" s="853">
        <v>50</v>
      </c>
      <c r="F71" s="854">
        <v>50</v>
      </c>
      <c r="G71" s="853">
        <v>44</v>
      </c>
      <c r="H71" s="531">
        <f t="shared" si="8"/>
        <v>88</v>
      </c>
      <c r="I71" s="517">
        <f t="shared" si="10"/>
        <v>88</v>
      </c>
    </row>
    <row r="72" spans="1:12" ht="15" customHeight="1" x14ac:dyDescent="0.2">
      <c r="A72" s="193"/>
      <c r="B72" s="197"/>
      <c r="C72" s="669"/>
      <c r="D72" s="670" t="s">
        <v>185</v>
      </c>
      <c r="E72" s="853">
        <v>150</v>
      </c>
      <c r="F72" s="854">
        <v>150</v>
      </c>
      <c r="G72" s="853">
        <v>134</v>
      </c>
      <c r="H72" s="531">
        <f t="shared" si="8"/>
        <v>89.333333333333329</v>
      </c>
      <c r="I72" s="517">
        <f t="shared" si="10"/>
        <v>89.333333333333329</v>
      </c>
    </row>
    <row r="73" spans="1:12" ht="15" customHeight="1" x14ac:dyDescent="0.2">
      <c r="A73" s="193"/>
      <c r="B73" s="197"/>
      <c r="C73" s="669" t="s">
        <v>186</v>
      </c>
      <c r="D73" s="670" t="s">
        <v>187</v>
      </c>
      <c r="E73" s="853">
        <v>5</v>
      </c>
      <c r="F73" s="854">
        <v>5</v>
      </c>
      <c r="G73" s="853">
        <v>0</v>
      </c>
      <c r="H73" s="531">
        <f t="shared" si="8"/>
        <v>0</v>
      </c>
      <c r="I73" s="517">
        <f t="shared" si="10"/>
        <v>0</v>
      </c>
    </row>
    <row r="74" spans="1:12" ht="15" customHeight="1" x14ac:dyDescent="0.2">
      <c r="A74" s="193"/>
      <c r="B74" s="197"/>
      <c r="C74" s="669"/>
      <c r="D74" s="670" t="s">
        <v>188</v>
      </c>
      <c r="E74" s="853">
        <v>5</v>
      </c>
      <c r="F74" s="854">
        <v>5</v>
      </c>
      <c r="G74" s="853">
        <v>0</v>
      </c>
      <c r="H74" s="531">
        <f t="shared" si="8"/>
        <v>0</v>
      </c>
      <c r="I74" s="517">
        <f t="shared" si="10"/>
        <v>0</v>
      </c>
    </row>
    <row r="75" spans="1:12" ht="15" customHeight="1" x14ac:dyDescent="0.2">
      <c r="A75" s="974"/>
      <c r="B75" s="200"/>
      <c r="C75" s="671"/>
      <c r="D75" s="670" t="s">
        <v>189</v>
      </c>
      <c r="E75" s="853">
        <v>20</v>
      </c>
      <c r="F75" s="854">
        <v>20</v>
      </c>
      <c r="G75" s="853">
        <v>9</v>
      </c>
      <c r="H75" s="531">
        <f t="shared" si="8"/>
        <v>45</v>
      </c>
      <c r="I75" s="517">
        <f t="shared" si="10"/>
        <v>45</v>
      </c>
    </row>
    <row r="76" spans="1:12" ht="15" customHeight="1" x14ac:dyDescent="0.2">
      <c r="A76" s="974"/>
      <c r="B76" s="201"/>
      <c r="C76" s="671" t="s">
        <v>482</v>
      </c>
      <c r="D76" s="525" t="s">
        <v>481</v>
      </c>
      <c r="E76" s="512">
        <f>SUM(E77)</f>
        <v>0</v>
      </c>
      <c r="F76" s="513">
        <f>SUM(F77)</f>
        <v>583.20000000000005</v>
      </c>
      <c r="G76" s="512">
        <f>SUM(G77)</f>
        <v>1030</v>
      </c>
      <c r="H76" s="84" t="s">
        <v>305</v>
      </c>
      <c r="I76" s="537">
        <f t="shared" si="10"/>
        <v>176.61179698216733</v>
      </c>
    </row>
    <row r="77" spans="1:12" ht="14.25" customHeight="1" x14ac:dyDescent="0.2">
      <c r="A77" s="974"/>
      <c r="B77" s="201"/>
      <c r="C77" s="671"/>
      <c r="D77" s="673" t="s">
        <v>148</v>
      </c>
      <c r="E77" s="535">
        <v>0</v>
      </c>
      <c r="F77" s="536">
        <v>583.20000000000005</v>
      </c>
      <c r="G77" s="535">
        <v>1030</v>
      </c>
      <c r="H77" s="171" t="s">
        <v>305</v>
      </c>
      <c r="I77" s="517">
        <f t="shared" si="10"/>
        <v>176.61179698216733</v>
      </c>
    </row>
    <row r="78" spans="1:12" ht="14.25" customHeight="1" x14ac:dyDescent="0.2">
      <c r="A78" s="974"/>
      <c r="B78" s="201"/>
      <c r="C78" s="671"/>
      <c r="D78" s="673"/>
      <c r="E78" s="535"/>
      <c r="F78" s="536"/>
      <c r="G78" s="535"/>
      <c r="H78" s="171"/>
      <c r="I78" s="517"/>
    </row>
    <row r="79" spans="1:12" ht="15" customHeight="1" x14ac:dyDescent="0.2">
      <c r="A79" s="26" t="s">
        <v>267</v>
      </c>
      <c r="B79" s="679" t="s">
        <v>268</v>
      </c>
      <c r="C79" s="519"/>
      <c r="D79" s="525" t="s">
        <v>161</v>
      </c>
      <c r="E79" s="512">
        <f>SUM(E80:E89)</f>
        <v>25350</v>
      </c>
      <c r="F79" s="513">
        <f>SUM(F80:F90)</f>
        <v>23960.799999999999</v>
      </c>
      <c r="G79" s="512">
        <f>SUM(G80:G90)</f>
        <v>23539</v>
      </c>
      <c r="H79" s="538">
        <f t="shared" si="8"/>
        <v>92.856015779092701</v>
      </c>
      <c r="I79" s="358">
        <f t="shared" ref="I79" si="11">(G79/F79)*100</f>
        <v>98.239624720376611</v>
      </c>
      <c r="L79" s="627"/>
    </row>
    <row r="80" spans="1:12" ht="15" customHeight="1" x14ac:dyDescent="0.2">
      <c r="A80" s="697"/>
      <c r="B80" s="199"/>
      <c r="C80" s="669"/>
      <c r="D80" s="670" t="s">
        <v>147</v>
      </c>
      <c r="E80" s="853">
        <v>2400</v>
      </c>
      <c r="F80" s="854">
        <v>2535</v>
      </c>
      <c r="G80" s="853">
        <v>2532</v>
      </c>
      <c r="H80" s="531">
        <f t="shared" si="8"/>
        <v>105.5</v>
      </c>
      <c r="I80" s="517">
        <f t="shared" ref="I80:I91" si="12">G80/F80*100</f>
        <v>99.881656804733737</v>
      </c>
    </row>
    <row r="81" spans="1:12" ht="15" customHeight="1" x14ac:dyDescent="0.2">
      <c r="A81" s="697"/>
      <c r="B81" s="199"/>
      <c r="C81" s="669"/>
      <c r="D81" s="670" t="s">
        <v>113</v>
      </c>
      <c r="E81" s="853">
        <v>350</v>
      </c>
      <c r="F81" s="854">
        <v>350</v>
      </c>
      <c r="G81" s="853">
        <v>294</v>
      </c>
      <c r="H81" s="531">
        <f t="shared" si="8"/>
        <v>84</v>
      </c>
      <c r="I81" s="517">
        <f t="shared" si="12"/>
        <v>84</v>
      </c>
    </row>
    <row r="82" spans="1:12" ht="15" customHeight="1" x14ac:dyDescent="0.2">
      <c r="A82" s="193"/>
      <c r="B82" s="195"/>
      <c r="C82" s="196"/>
      <c r="D82" s="198" t="s">
        <v>103</v>
      </c>
      <c r="E82" s="510">
        <v>150</v>
      </c>
      <c r="F82" s="854">
        <v>180</v>
      </c>
      <c r="G82" s="510">
        <v>170</v>
      </c>
      <c r="H82" s="531">
        <f t="shared" si="8"/>
        <v>113.33333333333333</v>
      </c>
      <c r="I82" s="517">
        <f t="shared" si="12"/>
        <v>94.444444444444443</v>
      </c>
    </row>
    <row r="83" spans="1:12" ht="15" customHeight="1" x14ac:dyDescent="0.2">
      <c r="A83" s="193"/>
      <c r="B83" s="195"/>
      <c r="C83" s="196" t="s">
        <v>269</v>
      </c>
      <c r="D83" s="198" t="s">
        <v>152</v>
      </c>
      <c r="E83" s="510">
        <v>300</v>
      </c>
      <c r="F83" s="854">
        <v>110</v>
      </c>
      <c r="G83" s="510">
        <v>39</v>
      </c>
      <c r="H83" s="531">
        <f t="shared" si="8"/>
        <v>13</v>
      </c>
      <c r="I83" s="517">
        <f t="shared" si="12"/>
        <v>35.454545454545453</v>
      </c>
    </row>
    <row r="84" spans="1:12" ht="15" customHeight="1" x14ac:dyDescent="0.2">
      <c r="A84" s="697"/>
      <c r="B84" s="199"/>
      <c r="C84" s="669" t="s">
        <v>226</v>
      </c>
      <c r="D84" s="670" t="s">
        <v>182</v>
      </c>
      <c r="E84" s="853">
        <v>4800</v>
      </c>
      <c r="F84" s="854">
        <v>4800</v>
      </c>
      <c r="G84" s="853">
        <v>4778</v>
      </c>
      <c r="H84" s="531">
        <f t="shared" si="8"/>
        <v>99.541666666666657</v>
      </c>
      <c r="I84" s="517">
        <f t="shared" si="12"/>
        <v>99.541666666666657</v>
      </c>
    </row>
    <row r="85" spans="1:12" ht="15" customHeight="1" x14ac:dyDescent="0.2">
      <c r="A85" s="697"/>
      <c r="B85" s="199"/>
      <c r="C85" s="669" t="s">
        <v>263</v>
      </c>
      <c r="D85" s="670" t="s">
        <v>116</v>
      </c>
      <c r="E85" s="853">
        <v>150</v>
      </c>
      <c r="F85" s="854">
        <v>128</v>
      </c>
      <c r="G85" s="853">
        <v>126</v>
      </c>
      <c r="H85" s="531">
        <f t="shared" si="8"/>
        <v>84</v>
      </c>
      <c r="I85" s="517">
        <f t="shared" si="12"/>
        <v>98.4375</v>
      </c>
    </row>
    <row r="86" spans="1:12" ht="15" customHeight="1" x14ac:dyDescent="0.2">
      <c r="A86" s="697"/>
      <c r="B86" s="199"/>
      <c r="C86" s="669" t="s">
        <v>227</v>
      </c>
      <c r="D86" s="670" t="s">
        <v>225</v>
      </c>
      <c r="E86" s="853">
        <v>15800</v>
      </c>
      <c r="F86" s="854">
        <v>14367.9</v>
      </c>
      <c r="G86" s="853">
        <v>13966</v>
      </c>
      <c r="H86" s="531">
        <f t="shared" si="8"/>
        <v>88.392405063291136</v>
      </c>
      <c r="I86" s="517">
        <f t="shared" si="12"/>
        <v>97.202792335692763</v>
      </c>
    </row>
    <row r="87" spans="1:12" ht="15" customHeight="1" x14ac:dyDescent="0.2">
      <c r="A87" s="193"/>
      <c r="B87" s="195"/>
      <c r="C87" s="196" t="s">
        <v>224</v>
      </c>
      <c r="D87" s="198" t="s">
        <v>446</v>
      </c>
      <c r="E87" s="853">
        <v>1200</v>
      </c>
      <c r="F87" s="854">
        <v>1250</v>
      </c>
      <c r="G87" s="853">
        <v>1224</v>
      </c>
      <c r="H87" s="531">
        <f t="shared" si="8"/>
        <v>102</v>
      </c>
      <c r="I87" s="517">
        <f t="shared" si="12"/>
        <v>97.92</v>
      </c>
    </row>
    <row r="88" spans="1:12" ht="15" customHeight="1" x14ac:dyDescent="0.2">
      <c r="A88" s="974"/>
      <c r="B88" s="203"/>
      <c r="C88" s="204" t="s">
        <v>270</v>
      </c>
      <c r="D88" s="670" t="s">
        <v>175</v>
      </c>
      <c r="E88" s="510">
        <v>200</v>
      </c>
      <c r="F88" s="854">
        <v>34</v>
      </c>
      <c r="G88" s="510">
        <v>32</v>
      </c>
      <c r="H88" s="531">
        <f t="shared" si="8"/>
        <v>16</v>
      </c>
      <c r="I88" s="517">
        <f t="shared" si="12"/>
        <v>94.117647058823522</v>
      </c>
    </row>
    <row r="89" spans="1:12" ht="15" customHeight="1" x14ac:dyDescent="0.2">
      <c r="A89" s="974"/>
      <c r="B89" s="203"/>
      <c r="C89" s="204"/>
      <c r="D89" s="670" t="s">
        <v>632</v>
      </c>
      <c r="E89" s="510">
        <v>0</v>
      </c>
      <c r="F89" s="854">
        <v>141.1</v>
      </c>
      <c r="G89" s="510">
        <v>130</v>
      </c>
      <c r="H89" s="171" t="s">
        <v>305</v>
      </c>
      <c r="I89" s="517">
        <f t="shared" si="12"/>
        <v>92.133238837703757</v>
      </c>
    </row>
    <row r="90" spans="1:12" ht="15" customHeight="1" x14ac:dyDescent="0.2">
      <c r="A90" s="974"/>
      <c r="B90" s="201"/>
      <c r="C90" s="671" t="s">
        <v>482</v>
      </c>
      <c r="D90" s="525" t="s">
        <v>481</v>
      </c>
      <c r="E90" s="512">
        <f>SUM(E91)</f>
        <v>0</v>
      </c>
      <c r="F90" s="513">
        <f>SUM(F91)</f>
        <v>64.8</v>
      </c>
      <c r="G90" s="512">
        <f>SUM(G91)</f>
        <v>248</v>
      </c>
      <c r="H90" s="84" t="s">
        <v>305</v>
      </c>
      <c r="I90" s="537">
        <f t="shared" si="12"/>
        <v>382.71604938271605</v>
      </c>
    </row>
    <row r="91" spans="1:12" ht="15" customHeight="1" x14ac:dyDescent="0.2">
      <c r="A91" s="974"/>
      <c r="B91" s="201"/>
      <c r="C91" s="671"/>
      <c r="D91" s="673" t="s">
        <v>225</v>
      </c>
      <c r="E91" s="535">
        <v>0</v>
      </c>
      <c r="F91" s="536">
        <v>64.8</v>
      </c>
      <c r="G91" s="535">
        <v>248</v>
      </c>
      <c r="H91" s="171" t="s">
        <v>305</v>
      </c>
      <c r="I91" s="517">
        <f t="shared" si="12"/>
        <v>382.71604938271605</v>
      </c>
    </row>
    <row r="92" spans="1:12" ht="15" customHeight="1" x14ac:dyDescent="0.2">
      <c r="A92" s="26" t="s">
        <v>202</v>
      </c>
      <c r="B92" s="1054" t="s">
        <v>203</v>
      </c>
      <c r="C92" s="1055"/>
      <c r="D92" s="667"/>
      <c r="E92" s="855">
        <f>SUM(E93:E93)</f>
        <v>2480</v>
      </c>
      <c r="F92" s="856">
        <f t="shared" ref="F92:G92" si="13">SUM(F93:F93)</f>
        <v>2680</v>
      </c>
      <c r="G92" s="855">
        <f t="shared" si="13"/>
        <v>2351</v>
      </c>
      <c r="H92" s="538">
        <f t="shared" si="8"/>
        <v>94.798387096774192</v>
      </c>
      <c r="I92" s="358">
        <f t="shared" ref="I92" si="14">(G92/F92)*100</f>
        <v>87.723880597014926</v>
      </c>
      <c r="L92" s="627"/>
    </row>
    <row r="93" spans="1:12" ht="15" customHeight="1" thickBot="1" x14ac:dyDescent="0.25">
      <c r="A93" s="974"/>
      <c r="B93" s="200"/>
      <c r="C93" s="204" t="s">
        <v>282</v>
      </c>
      <c r="D93" s="682" t="s">
        <v>161</v>
      </c>
      <c r="E93" s="677">
        <v>2480</v>
      </c>
      <c r="F93" s="449">
        <v>2680</v>
      </c>
      <c r="G93" s="677">
        <v>2351</v>
      </c>
      <c r="H93" s="533">
        <f t="shared" si="8"/>
        <v>94.798387096774192</v>
      </c>
      <c r="I93" s="517">
        <f t="shared" ref="I93" si="15">G93/F93*100</f>
        <v>87.723880597014926</v>
      </c>
    </row>
    <row r="94" spans="1:12" s="661" customFormat="1" ht="17.100000000000001" customHeight="1" thickBot="1" x14ac:dyDescent="0.3">
      <c r="A94" s="1024" t="s">
        <v>16</v>
      </c>
      <c r="B94" s="1025"/>
      <c r="C94" s="1026"/>
      <c r="D94" s="698"/>
      <c r="E94" s="428">
        <f>E7+E36+E40+E79+E92</f>
        <v>294853</v>
      </c>
      <c r="F94" s="441">
        <f>F7+F36+F40+F79+F92</f>
        <v>319514.90000000002</v>
      </c>
      <c r="G94" s="428">
        <f>G7+G36+G40+G79+G92</f>
        <v>297742</v>
      </c>
      <c r="H94" s="433">
        <f t="shared" si="8"/>
        <v>100.97981027834209</v>
      </c>
      <c r="I94" s="420">
        <f t="shared" ref="I94" si="16">(G94/F94)*100</f>
        <v>93.185638604021278</v>
      </c>
      <c r="J94" s="352"/>
      <c r="K94" s="699"/>
      <c r="L94" s="699"/>
    </row>
    <row r="95" spans="1:12" s="661" customFormat="1" ht="17.100000000000001" customHeight="1" x14ac:dyDescent="0.25">
      <c r="A95" s="491"/>
      <c r="B95" s="491"/>
      <c r="C95" s="491"/>
      <c r="D95" s="491"/>
      <c r="E95" s="700"/>
      <c r="F95" s="701"/>
      <c r="G95" s="700"/>
      <c r="H95" s="702"/>
      <c r="I95" s="703"/>
      <c r="J95" s="352"/>
      <c r="K95" s="699"/>
      <c r="L95" s="699"/>
    </row>
    <row r="96" spans="1:12" s="661" customFormat="1" ht="17.100000000000001" customHeight="1" x14ac:dyDescent="0.25">
      <c r="A96" s="491"/>
      <c r="B96" s="491"/>
      <c r="C96" s="491"/>
      <c r="D96" s="491"/>
      <c r="E96" s="700"/>
      <c r="F96" s="701"/>
      <c r="G96" s="700"/>
      <c r="H96" s="702"/>
      <c r="I96" s="703"/>
      <c r="J96" s="352"/>
      <c r="K96" s="699"/>
      <c r="L96" s="699"/>
    </row>
    <row r="97" spans="1:12" ht="20.25" customHeight="1" thickBot="1" x14ac:dyDescent="0.25">
      <c r="A97" s="704"/>
      <c r="B97" s="704"/>
      <c r="C97" s="704"/>
      <c r="D97" s="704"/>
      <c r="E97" s="705"/>
      <c r="F97" s="705"/>
      <c r="G97" s="705"/>
      <c r="H97" s="706"/>
      <c r="I97" s="694" t="s">
        <v>590</v>
      </c>
      <c r="K97" s="627"/>
      <c r="L97" s="627"/>
    </row>
    <row r="98" spans="1:12" x14ac:dyDescent="0.2">
      <c r="A98" s="6" t="s">
        <v>1</v>
      </c>
      <c r="B98" s="3" t="s">
        <v>2</v>
      </c>
      <c r="C98" s="291" t="s">
        <v>3</v>
      </c>
      <c r="D98" s="504"/>
      <c r="E98" s="3" t="s">
        <v>4</v>
      </c>
      <c r="F98" s="3" t="s">
        <v>372</v>
      </c>
      <c r="G98" s="3" t="s">
        <v>306</v>
      </c>
      <c r="H98" s="3" t="s">
        <v>373</v>
      </c>
      <c r="I98" s="353" t="s">
        <v>373</v>
      </c>
    </row>
    <row r="99" spans="1:12" x14ac:dyDescent="0.2">
      <c r="A99" s="7" t="s">
        <v>5</v>
      </c>
      <c r="B99" s="4" t="s">
        <v>6</v>
      </c>
      <c r="C99" s="293" t="s">
        <v>7</v>
      </c>
      <c r="D99" s="8" t="s">
        <v>8</v>
      </c>
      <c r="E99" s="4" t="s">
        <v>242</v>
      </c>
      <c r="F99" s="4" t="s">
        <v>374</v>
      </c>
      <c r="G99" s="4" t="s">
        <v>307</v>
      </c>
      <c r="H99" s="4" t="s">
        <v>375</v>
      </c>
      <c r="I99" s="354" t="s">
        <v>376</v>
      </c>
    </row>
    <row r="100" spans="1:12" ht="13.5" thickBot="1" x14ac:dyDescent="0.25">
      <c r="A100" s="7" t="s">
        <v>9</v>
      </c>
      <c r="B100" s="4" t="s">
        <v>10</v>
      </c>
      <c r="C100" s="293"/>
      <c r="D100" s="8"/>
      <c r="E100" s="4" t="s">
        <v>293</v>
      </c>
      <c r="F100" s="338">
        <f>F52</f>
        <v>44561</v>
      </c>
      <c r="G100" s="338">
        <f>G52</f>
        <v>44561</v>
      </c>
      <c r="H100" s="338" t="s">
        <v>220</v>
      </c>
      <c r="I100" s="356" t="s">
        <v>220</v>
      </c>
    </row>
    <row r="101" spans="1:12" s="661" customFormat="1" ht="15.75" x14ac:dyDescent="0.25">
      <c r="A101" s="9" t="s">
        <v>310</v>
      </c>
      <c r="B101" s="29"/>
      <c r="C101" s="707"/>
      <c r="D101" s="708"/>
      <c r="E101" s="363"/>
      <c r="F101" s="364"/>
      <c r="G101" s="363"/>
      <c r="H101" s="709"/>
      <c r="I101" s="710"/>
      <c r="J101" s="352"/>
    </row>
    <row r="102" spans="1:12" x14ac:dyDescent="0.2">
      <c r="A102" s="26" t="s">
        <v>267</v>
      </c>
      <c r="B102" s="679" t="s">
        <v>268</v>
      </c>
      <c r="C102" s="519"/>
      <c r="D102" s="711"/>
      <c r="E102" s="968">
        <f>SUM(E103:E106)</f>
        <v>2100</v>
      </c>
      <c r="F102" s="969">
        <f>SUM(F103:F106)</f>
        <v>2456</v>
      </c>
      <c r="G102" s="968">
        <f>SUM(G103:G106)</f>
        <v>2412</v>
      </c>
      <c r="H102" s="538">
        <f t="shared" ref="H102:H111" si="17">(G102/E102)*100</f>
        <v>114.85714285714286</v>
      </c>
      <c r="I102" s="358">
        <f>(G102/F102)*100</f>
        <v>98.208469055374593</v>
      </c>
      <c r="J102" s="659"/>
    </row>
    <row r="103" spans="1:12" x14ac:dyDescent="0.2">
      <c r="A103" s="365" t="s">
        <v>267</v>
      </c>
      <c r="B103" s="366" t="s">
        <v>322</v>
      </c>
      <c r="C103" s="367" t="s">
        <v>323</v>
      </c>
      <c r="D103" s="368" t="s">
        <v>161</v>
      </c>
      <c r="E103" s="860">
        <v>700</v>
      </c>
      <c r="F103" s="861">
        <v>647</v>
      </c>
      <c r="G103" s="711">
        <v>647</v>
      </c>
      <c r="H103" s="531">
        <f t="shared" si="17"/>
        <v>92.428571428571431</v>
      </c>
      <c r="I103" s="369">
        <f t="shared" ref="I103:I111" si="18">(G103/F103)*100</f>
        <v>100</v>
      </c>
      <c r="J103" s="659"/>
    </row>
    <row r="104" spans="1:12" x14ac:dyDescent="0.2">
      <c r="A104" s="370" t="s">
        <v>267</v>
      </c>
      <c r="B104" s="318" t="s">
        <v>324</v>
      </c>
      <c r="C104" s="367" t="s">
        <v>325</v>
      </c>
      <c r="D104" s="368" t="s">
        <v>161</v>
      </c>
      <c r="E104" s="860">
        <v>1400</v>
      </c>
      <c r="F104" s="861">
        <v>1400</v>
      </c>
      <c r="G104" s="880">
        <v>1363</v>
      </c>
      <c r="H104" s="531">
        <f t="shared" si="17"/>
        <v>97.357142857142847</v>
      </c>
      <c r="I104" s="369">
        <f t="shared" si="18"/>
        <v>97.357142857142847</v>
      </c>
      <c r="J104" s="659"/>
    </row>
    <row r="105" spans="1:12" x14ac:dyDescent="0.2">
      <c r="A105" s="370" t="s">
        <v>267</v>
      </c>
      <c r="B105" s="318" t="s">
        <v>532</v>
      </c>
      <c r="C105" s="367" t="s">
        <v>458</v>
      </c>
      <c r="D105" s="368" t="s">
        <v>161</v>
      </c>
      <c r="E105" s="860">
        <v>0</v>
      </c>
      <c r="F105" s="861">
        <v>74</v>
      </c>
      <c r="G105" s="711">
        <v>73</v>
      </c>
      <c r="H105" s="171" t="s">
        <v>305</v>
      </c>
      <c r="I105" s="369">
        <f t="shared" si="18"/>
        <v>98.648648648648646</v>
      </c>
      <c r="J105" s="659"/>
    </row>
    <row r="106" spans="1:12" x14ac:dyDescent="0.2">
      <c r="A106" s="370" t="s">
        <v>267</v>
      </c>
      <c r="B106" s="318" t="s">
        <v>633</v>
      </c>
      <c r="C106" s="367" t="s">
        <v>634</v>
      </c>
      <c r="D106" s="368" t="s">
        <v>161</v>
      </c>
      <c r="E106" s="860">
        <v>0</v>
      </c>
      <c r="F106" s="861">
        <v>335</v>
      </c>
      <c r="G106" s="711">
        <v>329</v>
      </c>
      <c r="H106" s="171" t="s">
        <v>305</v>
      </c>
      <c r="I106" s="369">
        <f>(G106/F106)*100</f>
        <v>98.208955223880594</v>
      </c>
      <c r="J106" s="659"/>
    </row>
    <row r="107" spans="1:12" x14ac:dyDescent="0.2">
      <c r="A107" s="370"/>
      <c r="B107" s="318"/>
      <c r="C107" s="367"/>
      <c r="D107" s="368"/>
      <c r="E107" s="860"/>
      <c r="F107" s="861"/>
      <c r="G107" s="711"/>
      <c r="H107" s="531"/>
      <c r="I107" s="369"/>
      <c r="J107" s="659"/>
    </row>
    <row r="108" spans="1:12" x14ac:dyDescent="0.2">
      <c r="A108" s="26" t="s">
        <v>200</v>
      </c>
      <c r="B108" s="519" t="s">
        <v>141</v>
      </c>
      <c r="C108" s="519"/>
      <c r="D108" s="711"/>
      <c r="E108" s="968">
        <f>E109+E110</f>
        <v>3000</v>
      </c>
      <c r="F108" s="969">
        <f t="shared" ref="F108" si="19">F109+F110</f>
        <v>15671</v>
      </c>
      <c r="G108" s="968">
        <f>SUM(G109:G110)</f>
        <v>1712</v>
      </c>
      <c r="H108" s="538">
        <f t="shared" si="17"/>
        <v>57.066666666666663</v>
      </c>
      <c r="I108" s="358">
        <f t="shared" si="18"/>
        <v>10.924637866122136</v>
      </c>
      <c r="J108" s="659"/>
    </row>
    <row r="109" spans="1:12" ht="13.5" customHeight="1" x14ac:dyDescent="0.2">
      <c r="A109" s="989" t="s">
        <v>200</v>
      </c>
      <c r="B109" s="371" t="s">
        <v>326</v>
      </c>
      <c r="C109" s="367" t="s">
        <v>327</v>
      </c>
      <c r="D109" s="368" t="s">
        <v>161</v>
      </c>
      <c r="E109" s="860">
        <v>500</v>
      </c>
      <c r="F109" s="861">
        <v>2315</v>
      </c>
      <c r="G109" s="880">
        <v>1712</v>
      </c>
      <c r="H109" s="531">
        <f t="shared" si="17"/>
        <v>342.4</v>
      </c>
      <c r="I109" s="369">
        <f t="shared" si="18"/>
        <v>73.952483801295898</v>
      </c>
      <c r="J109" s="659"/>
    </row>
    <row r="110" spans="1:12" ht="13.5" thickBot="1" x14ac:dyDescent="0.25">
      <c r="A110" s="990" t="s">
        <v>200</v>
      </c>
      <c r="B110" s="318" t="s">
        <v>328</v>
      </c>
      <c r="C110" s="383" t="s">
        <v>329</v>
      </c>
      <c r="D110" s="368" t="s">
        <v>161</v>
      </c>
      <c r="E110" s="862">
        <v>2500</v>
      </c>
      <c r="F110" s="626">
        <v>13356</v>
      </c>
      <c r="G110" s="864">
        <v>0</v>
      </c>
      <c r="H110" s="533">
        <f t="shared" si="17"/>
        <v>0</v>
      </c>
      <c r="I110" s="384">
        <f t="shared" si="18"/>
        <v>0</v>
      </c>
      <c r="J110" s="659"/>
    </row>
    <row r="111" spans="1:12" s="661" customFormat="1" ht="16.5" thickBot="1" x14ac:dyDescent="0.3">
      <c r="A111" s="1024" t="s">
        <v>315</v>
      </c>
      <c r="B111" s="1025"/>
      <c r="C111" s="1026"/>
      <c r="D111" s="372"/>
      <c r="E111" s="884">
        <f>E102+E108</f>
        <v>5100</v>
      </c>
      <c r="F111" s="414">
        <f>F102+F108</f>
        <v>18127</v>
      </c>
      <c r="G111" s="415">
        <f>G102+G108</f>
        <v>4124</v>
      </c>
      <c r="H111" s="416">
        <f t="shared" si="17"/>
        <v>80.862745098039213</v>
      </c>
      <c r="I111" s="417">
        <f t="shared" si="18"/>
        <v>22.750593038009598</v>
      </c>
    </row>
    <row r="112" spans="1:12" s="661" customFormat="1" ht="15.75" customHeight="1" thickBot="1" x14ac:dyDescent="0.25">
      <c r="E112" s="431"/>
      <c r="F112" s="431"/>
      <c r="G112" s="431"/>
      <c r="H112" s="432"/>
      <c r="I112" s="431"/>
    </row>
    <row r="113" spans="1:9" s="661" customFormat="1" ht="15.75" customHeight="1" thickBot="1" x14ac:dyDescent="0.3">
      <c r="A113" s="1024" t="s">
        <v>382</v>
      </c>
      <c r="B113" s="1025"/>
      <c r="C113" s="1026"/>
      <c r="D113" s="698"/>
      <c r="E113" s="428">
        <f>E94+E111</f>
        <v>299953</v>
      </c>
      <c r="F113" s="441">
        <f>F94+F111</f>
        <v>337641.9</v>
      </c>
      <c r="G113" s="428">
        <f>G94+G111</f>
        <v>301866</v>
      </c>
      <c r="H113" s="433">
        <f>G113/E113*100</f>
        <v>100.6377665834314</v>
      </c>
      <c r="I113" s="417">
        <f t="shared" ref="I113" si="20">(G113/F113)*100</f>
        <v>89.404188283503899</v>
      </c>
    </row>
    <row r="115" spans="1:9" x14ac:dyDescent="0.2">
      <c r="G115" s="627"/>
    </row>
  </sheetData>
  <mergeCells count="16">
    <mergeCell ref="H18:H19"/>
    <mergeCell ref="I18:I19"/>
    <mergeCell ref="B36:C36"/>
    <mergeCell ref="B92:C92"/>
    <mergeCell ref="A1:E1"/>
    <mergeCell ref="A2:E2"/>
    <mergeCell ref="B7:C7"/>
    <mergeCell ref="A18:A19"/>
    <mergeCell ref="B18:B19"/>
    <mergeCell ref="C18:C19"/>
    <mergeCell ref="E18:E19"/>
    <mergeCell ref="A94:C94"/>
    <mergeCell ref="A111:C111"/>
    <mergeCell ref="A113:C113"/>
    <mergeCell ref="F18:F19"/>
    <mergeCell ref="G18:G19"/>
  </mergeCells>
  <printOptions horizontalCentered="1"/>
  <pageMargins left="0.23622047244094491" right="0" top="0.39370078740157483" bottom="0" header="0.31496062992125984" footer="0.31496062992125984"/>
  <pageSetup paperSize="9" scale="78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J30"/>
  <sheetViews>
    <sheetView zoomScaleNormal="100" workbookViewId="0">
      <selection activeCell="I30" sqref="I30"/>
    </sheetView>
  </sheetViews>
  <sheetFormatPr defaultColWidth="9.140625" defaultRowHeight="12.75" x14ac:dyDescent="0.2"/>
  <cols>
    <col min="1" max="1" width="9" style="659" customWidth="1"/>
    <col min="2" max="2" width="11.7109375" style="659" customWidth="1"/>
    <col min="3" max="3" width="40.42578125" style="659" customWidth="1"/>
    <col min="4" max="4" width="46.5703125" style="659" customWidth="1"/>
    <col min="5" max="5" width="13.140625" style="659" customWidth="1"/>
    <col min="6" max="6" width="16.28515625" style="659" customWidth="1"/>
    <col min="7" max="9" width="13.140625" style="659" customWidth="1"/>
    <col min="10" max="16384" width="9.140625" style="659"/>
  </cols>
  <sheetData>
    <row r="1" spans="1:9" s="661" customFormat="1" ht="15.75" x14ac:dyDescent="0.25">
      <c r="A1" s="1064" t="s">
        <v>190</v>
      </c>
      <c r="B1" s="1065"/>
      <c r="C1" s="1065"/>
      <c r="D1" s="1065"/>
    </row>
    <row r="2" spans="1:9" ht="13.5" thickBot="1" x14ac:dyDescent="0.25">
      <c r="A2" s="712"/>
      <c r="B2" s="712"/>
      <c r="C2" s="712"/>
      <c r="D2" s="712"/>
      <c r="I2" s="351" t="s">
        <v>589</v>
      </c>
    </row>
    <row r="3" spans="1:9" x14ac:dyDescent="0.2">
      <c r="A3" s="103" t="s">
        <v>1</v>
      </c>
      <c r="B3" s="104" t="s">
        <v>2</v>
      </c>
      <c r="C3" s="105" t="s">
        <v>3</v>
      </c>
      <c r="D3" s="713"/>
      <c r="E3" s="3" t="s">
        <v>4</v>
      </c>
      <c r="F3" s="3" t="s">
        <v>372</v>
      </c>
      <c r="G3" s="37" t="s">
        <v>306</v>
      </c>
      <c r="H3" s="3" t="s">
        <v>373</v>
      </c>
      <c r="I3" s="353" t="s">
        <v>373</v>
      </c>
    </row>
    <row r="4" spans="1:9" x14ac:dyDescent="0.2">
      <c r="A4" s="107" t="s">
        <v>5</v>
      </c>
      <c r="B4" s="714" t="s">
        <v>6</v>
      </c>
      <c r="C4" s="109" t="s">
        <v>7</v>
      </c>
      <c r="D4" s="110" t="s">
        <v>8</v>
      </c>
      <c r="E4" s="4" t="s">
        <v>242</v>
      </c>
      <c r="F4" s="4" t="s">
        <v>374</v>
      </c>
      <c r="G4" s="38" t="s">
        <v>307</v>
      </c>
      <c r="H4" s="4" t="s">
        <v>375</v>
      </c>
      <c r="I4" s="354" t="s">
        <v>376</v>
      </c>
    </row>
    <row r="5" spans="1:9" ht="15" customHeight="1" thickBot="1" x14ac:dyDescent="0.25">
      <c r="A5" s="112" t="s">
        <v>9</v>
      </c>
      <c r="B5" s="113" t="s">
        <v>10</v>
      </c>
      <c r="C5" s="114"/>
      <c r="D5" s="115"/>
      <c r="E5" s="5" t="s">
        <v>293</v>
      </c>
      <c r="F5" s="338">
        <f>[2]Kap.01!F14</f>
        <v>44561</v>
      </c>
      <c r="G5" s="338">
        <f>F5</f>
        <v>44561</v>
      </c>
      <c r="H5" s="338" t="s">
        <v>220</v>
      </c>
      <c r="I5" s="356" t="s">
        <v>220</v>
      </c>
    </row>
    <row r="6" spans="1:9" s="661" customFormat="1" ht="15.75" x14ac:dyDescent="0.25">
      <c r="A6" s="715" t="s">
        <v>191</v>
      </c>
      <c r="B6" s="716"/>
      <c r="C6" s="716"/>
      <c r="D6" s="716"/>
      <c r="E6" s="717"/>
      <c r="F6" s="717"/>
      <c r="G6" s="717"/>
      <c r="H6" s="718"/>
      <c r="I6" s="666"/>
    </row>
    <row r="7" spans="1:9" x14ac:dyDescent="0.2">
      <c r="A7" s="79" t="s">
        <v>192</v>
      </c>
      <c r="B7" s="1066" t="s">
        <v>193</v>
      </c>
      <c r="C7" s="1023"/>
      <c r="D7" s="719"/>
      <c r="E7" s="720">
        <f>SUM(E9:E13)</f>
        <v>6770.6</v>
      </c>
      <c r="F7" s="720">
        <f>SUM(F9:F13)</f>
        <v>19965</v>
      </c>
      <c r="G7" s="721">
        <f>SUM(G9:G13)</f>
        <v>8189</v>
      </c>
      <c r="H7" s="538">
        <f t="shared" ref="H7" si="0">(G7/E7)*100</f>
        <v>120.94939887159188</v>
      </c>
      <c r="I7" s="537">
        <f>(G7/F7)*100</f>
        <v>41.016779363886805</v>
      </c>
    </row>
    <row r="8" spans="1:9" ht="15" customHeight="1" x14ac:dyDescent="0.2">
      <c r="A8" s="81"/>
      <c r="B8" s="183"/>
      <c r="C8" s="20"/>
      <c r="D8" s="722"/>
      <c r="E8" s="583"/>
      <c r="F8" s="582"/>
      <c r="G8" s="583"/>
      <c r="H8" s="723"/>
      <c r="I8" s="517"/>
    </row>
    <row r="9" spans="1:9" x14ac:dyDescent="0.2">
      <c r="A9" s="471"/>
      <c r="B9" s="205"/>
      <c r="C9" s="206" t="s">
        <v>194</v>
      </c>
      <c r="D9" s="724" t="s">
        <v>476</v>
      </c>
      <c r="E9" s="583">
        <v>270</v>
      </c>
      <c r="F9" s="582">
        <v>270</v>
      </c>
      <c r="G9" s="583">
        <v>220</v>
      </c>
      <c r="H9" s="171">
        <f t="shared" ref="H9:H10" si="1">(G9/E9)*100</f>
        <v>81.481481481481481</v>
      </c>
      <c r="I9" s="362">
        <f>(G9/F9)*100</f>
        <v>81.481481481481481</v>
      </c>
    </row>
    <row r="10" spans="1:9" x14ac:dyDescent="0.2">
      <c r="A10" s="446"/>
      <c r="B10" s="447"/>
      <c r="C10" s="20" t="s">
        <v>304</v>
      </c>
      <c r="D10" s="724" t="s">
        <v>477</v>
      </c>
      <c r="E10" s="583">
        <v>6500</v>
      </c>
      <c r="F10" s="582">
        <v>6505</v>
      </c>
      <c r="G10" s="583">
        <v>6111</v>
      </c>
      <c r="H10" s="171">
        <f t="shared" si="1"/>
        <v>94.015384615384619</v>
      </c>
      <c r="I10" s="362">
        <f>(G10/F10)*100</f>
        <v>93.943120676402771</v>
      </c>
    </row>
    <row r="11" spans="1:9" x14ac:dyDescent="0.2">
      <c r="A11" s="471"/>
      <c r="B11" s="207"/>
      <c r="C11" s="473" t="s">
        <v>438</v>
      </c>
      <c r="D11" s="724" t="s">
        <v>440</v>
      </c>
      <c r="E11" s="583">
        <v>0</v>
      </c>
      <c r="F11" s="582">
        <v>1534.1</v>
      </c>
      <c r="G11" s="583">
        <v>1655</v>
      </c>
      <c r="H11" s="725" t="s">
        <v>305</v>
      </c>
      <c r="I11" s="726">
        <f>(G11/F11)*100</f>
        <v>107.88084218760186</v>
      </c>
    </row>
    <row r="12" spans="1:9" x14ac:dyDescent="0.2">
      <c r="A12" s="471"/>
      <c r="B12" s="207"/>
      <c r="C12" s="473" t="s">
        <v>478</v>
      </c>
      <c r="D12" s="724" t="s">
        <v>475</v>
      </c>
      <c r="E12" s="583">
        <v>0</v>
      </c>
      <c r="F12" s="582">
        <v>202.7</v>
      </c>
      <c r="G12" s="583">
        <v>203</v>
      </c>
      <c r="H12" s="725" t="s">
        <v>305</v>
      </c>
      <c r="I12" s="726">
        <f>(G12/F12)*100</f>
        <v>100.14800197335964</v>
      </c>
    </row>
    <row r="13" spans="1:9" x14ac:dyDescent="0.2">
      <c r="A13" s="471"/>
      <c r="B13" s="207"/>
      <c r="C13" s="473" t="s">
        <v>439</v>
      </c>
      <c r="D13" s="724" t="s">
        <v>441</v>
      </c>
      <c r="E13" s="582">
        <v>0.6</v>
      </c>
      <c r="F13" s="582">
        <v>11453.2</v>
      </c>
      <c r="G13" s="583">
        <v>0</v>
      </c>
      <c r="H13" s="171">
        <f t="shared" ref="H13" si="2">(G13/E13)*100</f>
        <v>0</v>
      </c>
      <c r="I13" s="362">
        <f>(G13/F13)*100</f>
        <v>0</v>
      </c>
    </row>
    <row r="14" spans="1:9" x14ac:dyDescent="0.2">
      <c r="A14" s="471"/>
      <c r="B14" s="207"/>
      <c r="C14" s="473"/>
      <c r="D14" s="727"/>
      <c r="E14" s="583"/>
      <c r="F14" s="582"/>
      <c r="G14" s="583"/>
      <c r="H14" s="208"/>
      <c r="I14" s="362"/>
    </row>
    <row r="15" spans="1:9" x14ac:dyDescent="0.2">
      <c r="A15" s="31" t="s">
        <v>208</v>
      </c>
      <c r="B15" s="719" t="s">
        <v>204</v>
      </c>
      <c r="C15" s="728"/>
      <c r="D15" s="729"/>
      <c r="E15" s="721">
        <f>E17</f>
        <v>75</v>
      </c>
      <c r="F15" s="720">
        <f>F17</f>
        <v>75</v>
      </c>
      <c r="G15" s="721">
        <f>G17</f>
        <v>74</v>
      </c>
      <c r="H15" s="538">
        <f t="shared" ref="H15" si="3">(G15/E15)*100</f>
        <v>98.666666666666671</v>
      </c>
      <c r="I15" s="537">
        <f>(G15/F15)*100</f>
        <v>98.666666666666671</v>
      </c>
    </row>
    <row r="16" spans="1:9" x14ac:dyDescent="0.2">
      <c r="A16" s="31"/>
      <c r="B16" s="730"/>
      <c r="C16" s="719" t="s">
        <v>209</v>
      </c>
      <c r="D16" s="729"/>
      <c r="E16" s="583"/>
      <c r="F16" s="582"/>
      <c r="G16" s="583"/>
      <c r="H16" s="723"/>
      <c r="I16" s="517"/>
    </row>
    <row r="17" spans="1:10" ht="13.5" thickBot="1" x14ac:dyDescent="0.25">
      <c r="A17" s="81"/>
      <c r="B17" s="209"/>
      <c r="C17" s="20" t="s">
        <v>195</v>
      </c>
      <c r="D17" s="722" t="s">
        <v>196</v>
      </c>
      <c r="E17" s="583">
        <v>75</v>
      </c>
      <c r="F17" s="582">
        <v>75</v>
      </c>
      <c r="G17" s="583">
        <v>74</v>
      </c>
      <c r="H17" s="531">
        <f t="shared" ref="H17:H18" si="4">(G17/E17)*100</f>
        <v>98.666666666666671</v>
      </c>
      <c r="I17" s="517">
        <f>(G17/F17)*100</f>
        <v>98.666666666666671</v>
      </c>
    </row>
    <row r="18" spans="1:10" s="661" customFormat="1" ht="16.5" thickBot="1" x14ac:dyDescent="0.3">
      <c r="A18" s="1009" t="s">
        <v>16</v>
      </c>
      <c r="B18" s="1010"/>
      <c r="C18" s="1011"/>
      <c r="D18" s="731"/>
      <c r="E18" s="440">
        <f>E7+E15</f>
        <v>6845.6</v>
      </c>
      <c r="F18" s="440">
        <f>F7+F15</f>
        <v>20040</v>
      </c>
      <c r="G18" s="421">
        <f>G7+G15</f>
        <v>8263</v>
      </c>
      <c r="H18" s="416">
        <f t="shared" si="4"/>
        <v>120.70527053874021</v>
      </c>
      <c r="I18" s="420">
        <f t="shared" ref="I18" si="5">(G18/F18)*100</f>
        <v>41.232534930139721</v>
      </c>
      <c r="J18" s="732"/>
    </row>
    <row r="19" spans="1:10" x14ac:dyDescent="0.2">
      <c r="E19" s="165"/>
      <c r="F19" s="165"/>
      <c r="G19" s="733"/>
      <c r="H19" s="733"/>
      <c r="I19" s="734"/>
      <c r="J19" s="627"/>
    </row>
    <row r="20" spans="1:10" ht="15" customHeight="1" thickBot="1" x14ac:dyDescent="0.25">
      <c r="E20" s="735"/>
      <c r="F20" s="735"/>
      <c r="G20" s="735"/>
      <c r="H20" s="735"/>
    </row>
    <row r="21" spans="1:10" x14ac:dyDescent="0.2">
      <c r="A21" s="103" t="s">
        <v>1</v>
      </c>
      <c r="B21" s="104" t="s">
        <v>2</v>
      </c>
      <c r="C21" s="105" t="s">
        <v>3</v>
      </c>
      <c r="D21" s="713"/>
      <c r="E21" s="3" t="s">
        <v>4</v>
      </c>
      <c r="F21" s="3" t="s">
        <v>372</v>
      </c>
      <c r="G21" s="37" t="s">
        <v>306</v>
      </c>
      <c r="H21" s="3" t="s">
        <v>373</v>
      </c>
      <c r="I21" s="353" t="s">
        <v>373</v>
      </c>
    </row>
    <row r="22" spans="1:10" x14ac:dyDescent="0.2">
      <c r="A22" s="107" t="s">
        <v>5</v>
      </c>
      <c r="B22" s="714" t="s">
        <v>6</v>
      </c>
      <c r="C22" s="109" t="s">
        <v>7</v>
      </c>
      <c r="D22" s="110" t="s">
        <v>8</v>
      </c>
      <c r="E22" s="4" t="s">
        <v>242</v>
      </c>
      <c r="F22" s="4" t="s">
        <v>374</v>
      </c>
      <c r="G22" s="38" t="s">
        <v>307</v>
      </c>
      <c r="H22" s="4" t="s">
        <v>375</v>
      </c>
      <c r="I22" s="354" t="s">
        <v>376</v>
      </c>
    </row>
    <row r="23" spans="1:10" ht="13.5" thickBot="1" x14ac:dyDescent="0.25">
      <c r="A23" s="112" t="s">
        <v>9</v>
      </c>
      <c r="B23" s="113" t="s">
        <v>10</v>
      </c>
      <c r="C23" s="114"/>
      <c r="D23" s="115"/>
      <c r="E23" s="5" t="s">
        <v>293</v>
      </c>
      <c r="F23" s="338">
        <f>F5</f>
        <v>44561</v>
      </c>
      <c r="G23" s="338">
        <f>G5</f>
        <v>44561</v>
      </c>
      <c r="H23" s="338" t="s">
        <v>220</v>
      </c>
      <c r="I23" s="356" t="s">
        <v>220</v>
      </c>
    </row>
    <row r="24" spans="1:10" s="661" customFormat="1" ht="15.75" x14ac:dyDescent="0.25">
      <c r="A24" s="715" t="s">
        <v>442</v>
      </c>
      <c r="B24" s="716"/>
      <c r="C24" s="716"/>
      <c r="D24" s="716"/>
      <c r="E24" s="717"/>
      <c r="F24" s="717"/>
      <c r="G24" s="717"/>
      <c r="H24" s="718"/>
      <c r="I24" s="666"/>
    </row>
    <row r="25" spans="1:10" x14ac:dyDescent="0.2">
      <c r="A25" s="79" t="s">
        <v>192</v>
      </c>
      <c r="B25" s="1066" t="s">
        <v>193</v>
      </c>
      <c r="C25" s="1023"/>
      <c r="D25" s="719"/>
      <c r="E25" s="721">
        <f>SUM(E26:E27)</f>
        <v>0</v>
      </c>
      <c r="F25" s="720">
        <f t="shared" ref="F25:G25" si="6">SUM(F26:F27)</f>
        <v>55433.200000000004</v>
      </c>
      <c r="G25" s="721">
        <f t="shared" si="6"/>
        <v>55433</v>
      </c>
      <c r="H25" s="57" t="s">
        <v>305</v>
      </c>
      <c r="I25" s="736">
        <f>(G25/F25)*100</f>
        <v>99.999639205385932</v>
      </c>
    </row>
    <row r="26" spans="1:10" ht="25.5" x14ac:dyDescent="0.2">
      <c r="A26" s="159"/>
      <c r="B26" s="474" t="s">
        <v>305</v>
      </c>
      <c r="C26" s="349" t="s">
        <v>479</v>
      </c>
      <c r="D26" s="50" t="s">
        <v>537</v>
      </c>
      <c r="E26" s="878">
        <v>0</v>
      </c>
      <c r="F26" s="879">
        <v>271.39999999999998</v>
      </c>
      <c r="G26" s="878">
        <v>271</v>
      </c>
      <c r="H26" s="211" t="s">
        <v>305</v>
      </c>
      <c r="I26" s="726">
        <f>(G26/F26)*100</f>
        <v>99.852616064848945</v>
      </c>
    </row>
    <row r="27" spans="1:10" ht="26.25" thickBot="1" x14ac:dyDescent="0.25">
      <c r="A27" s="470"/>
      <c r="B27" s="210" t="s">
        <v>333</v>
      </c>
      <c r="C27" s="472" t="s">
        <v>538</v>
      </c>
      <c r="D27" s="450" t="s">
        <v>537</v>
      </c>
      <c r="E27" s="878">
        <v>0</v>
      </c>
      <c r="F27" s="879">
        <v>55161.8</v>
      </c>
      <c r="G27" s="878">
        <v>55162</v>
      </c>
      <c r="H27" s="211" t="s">
        <v>305</v>
      </c>
      <c r="I27" s="726">
        <f>(G27/F27)*100</f>
        <v>100.00036256974936</v>
      </c>
    </row>
    <row r="28" spans="1:10" s="661" customFormat="1" ht="16.5" thickBot="1" x14ac:dyDescent="0.3">
      <c r="A28" s="737" t="s">
        <v>315</v>
      </c>
      <c r="B28" s="372"/>
      <c r="C28" s="372"/>
      <c r="D28" s="372"/>
      <c r="E28" s="415">
        <f>E25</f>
        <v>0</v>
      </c>
      <c r="F28" s="414">
        <f t="shared" ref="F28:G28" si="7">F25</f>
        <v>55433.200000000004</v>
      </c>
      <c r="G28" s="415">
        <f t="shared" si="7"/>
        <v>55433</v>
      </c>
      <c r="H28" s="418" t="s">
        <v>305</v>
      </c>
      <c r="I28" s="419">
        <f>G28/F28*100</f>
        <v>99.999639205385932</v>
      </c>
    </row>
    <row r="29" spans="1:10" s="661" customFormat="1" ht="15.75" thickBot="1" x14ac:dyDescent="0.25"/>
    <row r="30" spans="1:10" s="661" customFormat="1" ht="15.75" customHeight="1" thickBot="1" x14ac:dyDescent="0.3">
      <c r="A30" s="86" t="s">
        <v>445</v>
      </c>
      <c r="B30" s="485"/>
      <c r="C30" s="484"/>
      <c r="D30" s="372"/>
      <c r="E30" s="414">
        <f>E18+E28</f>
        <v>6845.6</v>
      </c>
      <c r="F30" s="414">
        <f t="shared" ref="F30:G30" si="8">F18+F28</f>
        <v>75473.200000000012</v>
      </c>
      <c r="G30" s="415">
        <f t="shared" si="8"/>
        <v>63696</v>
      </c>
      <c r="H30" s="416">
        <f>(G30/E30)*100</f>
        <v>930.46628491293677</v>
      </c>
      <c r="I30" s="417" t="s">
        <v>657</v>
      </c>
    </row>
  </sheetData>
  <mergeCells count="4">
    <mergeCell ref="A1:D1"/>
    <mergeCell ref="B7:C7"/>
    <mergeCell ref="A18:C18"/>
    <mergeCell ref="B25:C25"/>
  </mergeCells>
  <pageMargins left="0.23622047244094491" right="0" top="0.39370078740157483" bottom="0.39370078740157483" header="0" footer="0"/>
  <pageSetup paperSize="9" scale="7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10</vt:i4>
      </vt:variant>
      <vt:variant>
        <vt:lpstr>Pojmenované oblasti</vt:lpstr>
      </vt:variant>
      <vt:variant>
        <vt:i4>5</vt:i4>
      </vt:variant>
    </vt:vector>
  </HeadingPairs>
  <TitlesOfParts>
    <vt:vector size="15" baseType="lpstr">
      <vt:lpstr>Kap.01</vt:lpstr>
      <vt:lpstr>Kap.02</vt:lpstr>
      <vt:lpstr>Kap. 03</vt:lpstr>
      <vt:lpstr>Kap. 04</vt:lpstr>
      <vt:lpstr>Kap. 05</vt:lpstr>
      <vt:lpstr>Kap. 06</vt:lpstr>
      <vt:lpstr>Kap. 07</vt:lpstr>
      <vt:lpstr>Kap. 08 </vt:lpstr>
      <vt:lpstr>Kap. 09 </vt:lpstr>
      <vt:lpstr>Kap. 10 </vt:lpstr>
      <vt:lpstr>'Kap. 05'!Oblast_tisku</vt:lpstr>
      <vt:lpstr>'Kap. 06'!Oblast_tisku</vt:lpstr>
      <vt:lpstr>'Kap. 08 '!Oblast_tisku</vt:lpstr>
      <vt:lpstr>'Kap. 09 '!Oblast_tisku</vt:lpstr>
      <vt:lpstr>'Kap. 10 '!Oblast_tisku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Lenka.Matejkova</dc:creator>
  <cp:lastModifiedBy>Přibylová Jana (P8)</cp:lastModifiedBy>
  <cp:lastPrinted>2022-05-24T08:16:36Z</cp:lastPrinted>
  <dcterms:created xsi:type="dcterms:W3CDTF">2014-06-06T09:29:24Z</dcterms:created>
  <dcterms:modified xsi:type="dcterms:W3CDTF">2022-06-30T10:20:07Z</dcterms:modified>
</cp:coreProperties>
</file>